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3\zastávky JZ Tangenta\Rozpočet\"/>
    </mc:Choice>
  </mc:AlternateContent>
  <bookViews>
    <workbookView xWindow="0" yWindow="0" windowWidth="32914" windowHeight="14100" activeTab="2"/>
  </bookViews>
  <sheets>
    <sheet name="Stavební rozpočet" sheetId="1" r:id="rId1"/>
    <sheet name="Rozpočet - Jen objekty celkem" sheetId="2" r:id="rId2"/>
    <sheet name="Krycí list rozpočtu" sheetId="3" r:id="rId3"/>
    <sheet name="VORN" sheetId="4" state="hidden" r:id="rId4"/>
  </sheets>
  <definedNames>
    <definedName name="vorn_sum">VORN!$I$36</definedName>
  </definedNames>
  <calcPr calcId="162913"/>
</workbook>
</file>

<file path=xl/calcChain.xml><?xml version="1.0" encoding="utf-8"?>
<calcChain xmlns="http://schemas.openxmlformats.org/spreadsheetml/2006/main">
  <c r="K71" i="1" l="1"/>
  <c r="K194" i="1"/>
  <c r="K265" i="1" l="1"/>
  <c r="K256" i="1"/>
  <c r="J256" i="1"/>
  <c r="K254" i="1"/>
  <c r="J254" i="1"/>
  <c r="I35" i="4"/>
  <c r="I36" i="4" s="1"/>
  <c r="I24" i="3" s="1"/>
  <c r="I26" i="4"/>
  <c r="I25" i="4"/>
  <c r="I24" i="4"/>
  <c r="I23" i="4"/>
  <c r="I22" i="4"/>
  <c r="I27" i="4" s="1"/>
  <c r="I21" i="4"/>
  <c r="I17" i="4"/>
  <c r="F16" i="3" s="1"/>
  <c r="I16" i="4"/>
  <c r="I15" i="4"/>
  <c r="I18" i="4" s="1"/>
  <c r="F29" i="4" s="1"/>
  <c r="I10" i="4"/>
  <c r="F10" i="4"/>
  <c r="C10" i="4"/>
  <c r="F8" i="4"/>
  <c r="C8" i="4"/>
  <c r="F6" i="4"/>
  <c r="C6" i="4"/>
  <c r="F4" i="4"/>
  <c r="C4" i="4"/>
  <c r="F2" i="4"/>
  <c r="C2" i="4"/>
  <c r="I19" i="3"/>
  <c r="I18" i="3"/>
  <c r="I17" i="3"/>
  <c r="I16" i="3"/>
  <c r="I15" i="3"/>
  <c r="F15" i="3"/>
  <c r="I14" i="3"/>
  <c r="I22" i="3" s="1"/>
  <c r="F14" i="3"/>
  <c r="F22" i="3" s="1"/>
  <c r="I10" i="3"/>
  <c r="F10" i="3"/>
  <c r="C10" i="3"/>
  <c r="F8" i="3"/>
  <c r="C8" i="3"/>
  <c r="F6" i="3"/>
  <c r="C6" i="3"/>
  <c r="F4" i="3"/>
  <c r="C4" i="3"/>
  <c r="F2" i="3"/>
  <c r="C2" i="3"/>
  <c r="N16" i="2"/>
  <c r="N15" i="2"/>
  <c r="N14" i="2"/>
  <c r="N13" i="2"/>
  <c r="N12" i="2"/>
  <c r="J8" i="2"/>
  <c r="H8" i="2"/>
  <c r="D8" i="2"/>
  <c r="J6" i="2"/>
  <c r="H6" i="2"/>
  <c r="D6" i="2"/>
  <c r="J4" i="2"/>
  <c r="H4" i="2"/>
  <c r="D4" i="2"/>
  <c r="J2" i="2"/>
  <c r="H2" i="2"/>
  <c r="D2" i="2"/>
  <c r="BW366" i="1"/>
  <c r="BJ366" i="1"/>
  <c r="BF366" i="1"/>
  <c r="BD366" i="1"/>
  <c r="AP366" i="1"/>
  <c r="AO366" i="1"/>
  <c r="BH366" i="1" s="1"/>
  <c r="AB366" i="1" s="1"/>
  <c r="AL366" i="1"/>
  <c r="AU365" i="1" s="1"/>
  <c r="AK366" i="1"/>
  <c r="AT365" i="1" s="1"/>
  <c r="AJ366" i="1"/>
  <c r="AS365" i="1" s="1"/>
  <c r="AH366" i="1"/>
  <c r="AG366" i="1"/>
  <c r="AF366" i="1"/>
  <c r="AE366" i="1"/>
  <c r="AD366" i="1"/>
  <c r="Z366" i="1"/>
  <c r="O366" i="1"/>
  <c r="O365" i="1" s="1"/>
  <c r="O364" i="1" s="1"/>
  <c r="L16" i="2" s="1"/>
  <c r="L366" i="1"/>
  <c r="M366" i="1" s="1"/>
  <c r="M365" i="1" s="1"/>
  <c r="M364" i="1" s="1"/>
  <c r="BW362" i="1"/>
  <c r="BJ362" i="1"/>
  <c r="BD362" i="1"/>
  <c r="AP362" i="1"/>
  <c r="BI362" i="1" s="1"/>
  <c r="AC362" i="1" s="1"/>
  <c r="AO362" i="1"/>
  <c r="AK362" i="1"/>
  <c r="AJ362" i="1"/>
  <c r="AH362" i="1"/>
  <c r="AG362" i="1"/>
  <c r="AF362" i="1"/>
  <c r="AE362" i="1"/>
  <c r="AD362" i="1"/>
  <c r="Z362" i="1"/>
  <c r="O362" i="1"/>
  <c r="BF362" i="1" s="1"/>
  <c r="L362" i="1"/>
  <c r="BW360" i="1"/>
  <c r="BJ360" i="1"/>
  <c r="BD360" i="1"/>
  <c r="AP360" i="1"/>
  <c r="K360" i="1" s="1"/>
  <c r="AO360" i="1"/>
  <c r="AK360" i="1"/>
  <c r="AJ360" i="1"/>
  <c r="AH360" i="1"/>
  <c r="AG360" i="1"/>
  <c r="AF360" i="1"/>
  <c r="AE360" i="1"/>
  <c r="AD360" i="1"/>
  <c r="Z360" i="1"/>
  <c r="O360" i="1"/>
  <c r="BF360" i="1" s="1"/>
  <c r="L360" i="1"/>
  <c r="AL360" i="1" s="1"/>
  <c r="BW358" i="1"/>
  <c r="M358" i="1" s="1"/>
  <c r="BJ358" i="1"/>
  <c r="BD358" i="1"/>
  <c r="AP358" i="1"/>
  <c r="BI358" i="1" s="1"/>
  <c r="AC358" i="1" s="1"/>
  <c r="AO358" i="1"/>
  <c r="AW358" i="1" s="1"/>
  <c r="AL358" i="1"/>
  <c r="AK358" i="1"/>
  <c r="AJ358" i="1"/>
  <c r="AH358" i="1"/>
  <c r="AG358" i="1"/>
  <c r="AF358" i="1"/>
  <c r="AE358" i="1"/>
  <c r="AD358" i="1"/>
  <c r="Z358" i="1"/>
  <c r="O358" i="1"/>
  <c r="BF358" i="1" s="1"/>
  <c r="L358" i="1"/>
  <c r="BW356" i="1"/>
  <c r="M356" i="1" s="1"/>
  <c r="BJ356" i="1"/>
  <c r="BF356" i="1"/>
  <c r="BD356" i="1"/>
  <c r="AP356" i="1"/>
  <c r="AO356" i="1"/>
  <c r="AL356" i="1"/>
  <c r="AK356" i="1"/>
  <c r="AJ356" i="1"/>
  <c r="AH356" i="1"/>
  <c r="AG356" i="1"/>
  <c r="AF356" i="1"/>
  <c r="AE356" i="1"/>
  <c r="AD356" i="1"/>
  <c r="Z356" i="1"/>
  <c r="O356" i="1"/>
  <c r="L356" i="1"/>
  <c r="BW354" i="1"/>
  <c r="BJ354" i="1"/>
  <c r="BF354" i="1"/>
  <c r="BD354" i="1"/>
  <c r="AP354" i="1"/>
  <c r="AO354" i="1"/>
  <c r="AL354" i="1"/>
  <c r="AK354" i="1"/>
  <c r="AJ354" i="1"/>
  <c r="AH354" i="1"/>
  <c r="AG354" i="1"/>
  <c r="AF354" i="1"/>
  <c r="AE354" i="1"/>
  <c r="AD354" i="1"/>
  <c r="Z354" i="1"/>
  <c r="O354" i="1"/>
  <c r="L354" i="1"/>
  <c r="M354" i="1" s="1"/>
  <c r="BW352" i="1"/>
  <c r="BJ352" i="1"/>
  <c r="BI352" i="1"/>
  <c r="AC352" i="1" s="1"/>
  <c r="BH352" i="1"/>
  <c r="AB352" i="1" s="1"/>
  <c r="BF352" i="1"/>
  <c r="BD352" i="1"/>
  <c r="AX352" i="1"/>
  <c r="AV352" i="1" s="1"/>
  <c r="AW352" i="1"/>
  <c r="AP352" i="1"/>
  <c r="AO352" i="1"/>
  <c r="AK352" i="1"/>
  <c r="AJ352" i="1"/>
  <c r="AH352" i="1"/>
  <c r="AG352" i="1"/>
  <c r="AF352" i="1"/>
  <c r="AE352" i="1"/>
  <c r="AD352" i="1"/>
  <c r="Z352" i="1"/>
  <c r="O352" i="1"/>
  <c r="L352" i="1"/>
  <c r="K352" i="1"/>
  <c r="J352" i="1"/>
  <c r="BW350" i="1"/>
  <c r="BJ350" i="1"/>
  <c r="BD350" i="1"/>
  <c r="AP350" i="1"/>
  <c r="BI350" i="1" s="1"/>
  <c r="AC350" i="1" s="1"/>
  <c r="AO350" i="1"/>
  <c r="AK350" i="1"/>
  <c r="AJ350" i="1"/>
  <c r="AH350" i="1"/>
  <c r="AG350" i="1"/>
  <c r="AF350" i="1"/>
  <c r="AE350" i="1"/>
  <c r="AD350" i="1"/>
  <c r="Z350" i="1"/>
  <c r="O350" i="1"/>
  <c r="BF350" i="1" s="1"/>
  <c r="L350" i="1"/>
  <c r="AL350" i="1" s="1"/>
  <c r="BW348" i="1"/>
  <c r="BJ348" i="1"/>
  <c r="BD348" i="1"/>
  <c r="AP348" i="1"/>
  <c r="AO348" i="1"/>
  <c r="J348" i="1" s="1"/>
  <c r="AK348" i="1"/>
  <c r="AJ348" i="1"/>
  <c r="AH348" i="1"/>
  <c r="AG348" i="1"/>
  <c r="AF348" i="1"/>
  <c r="AE348" i="1"/>
  <c r="AD348" i="1"/>
  <c r="Z348" i="1"/>
  <c r="O348" i="1"/>
  <c r="BF348" i="1" s="1"/>
  <c r="L348" i="1"/>
  <c r="BW346" i="1"/>
  <c r="BJ346" i="1"/>
  <c r="BF346" i="1"/>
  <c r="BD346" i="1"/>
  <c r="AP346" i="1"/>
  <c r="K346" i="1" s="1"/>
  <c r="AO346" i="1"/>
  <c r="AK346" i="1"/>
  <c r="AJ346" i="1"/>
  <c r="AH346" i="1"/>
  <c r="AG346" i="1"/>
  <c r="AF346" i="1"/>
  <c r="AE346" i="1"/>
  <c r="AD346" i="1"/>
  <c r="Z346" i="1"/>
  <c r="O346" i="1"/>
  <c r="L346" i="1"/>
  <c r="AL346" i="1" s="1"/>
  <c r="BW344" i="1"/>
  <c r="BJ344" i="1"/>
  <c r="BD344" i="1"/>
  <c r="AP344" i="1"/>
  <c r="AO344" i="1"/>
  <c r="AL344" i="1"/>
  <c r="AK344" i="1"/>
  <c r="AJ344" i="1"/>
  <c r="AH344" i="1"/>
  <c r="AG344" i="1"/>
  <c r="AF344" i="1"/>
  <c r="AE344" i="1"/>
  <c r="AD344" i="1"/>
  <c r="Z344" i="1"/>
  <c r="O344" i="1"/>
  <c r="BF344" i="1" s="1"/>
  <c r="L344" i="1"/>
  <c r="M344" i="1" s="1"/>
  <c r="BW342" i="1"/>
  <c r="BJ342" i="1"/>
  <c r="BF342" i="1"/>
  <c r="BD342" i="1"/>
  <c r="AP342" i="1"/>
  <c r="BI342" i="1" s="1"/>
  <c r="AC342" i="1" s="1"/>
  <c r="AO342" i="1"/>
  <c r="BH342" i="1" s="1"/>
  <c r="AB342" i="1" s="1"/>
  <c r="AK342" i="1"/>
  <c r="AJ342" i="1"/>
  <c r="AH342" i="1"/>
  <c r="AG342" i="1"/>
  <c r="AF342" i="1"/>
  <c r="AE342" i="1"/>
  <c r="AD342" i="1"/>
  <c r="Z342" i="1"/>
  <c r="O342" i="1"/>
  <c r="L342" i="1"/>
  <c r="AL342" i="1" s="1"/>
  <c r="BW340" i="1"/>
  <c r="BJ340" i="1"/>
  <c r="BH340" i="1"/>
  <c r="AB340" i="1" s="1"/>
  <c r="BD340" i="1"/>
  <c r="AP340" i="1"/>
  <c r="K340" i="1" s="1"/>
  <c r="AO340" i="1"/>
  <c r="AW340" i="1" s="1"/>
  <c r="AK340" i="1"/>
  <c r="AJ340" i="1"/>
  <c r="AH340" i="1"/>
  <c r="AG340" i="1"/>
  <c r="AF340" i="1"/>
  <c r="AE340" i="1"/>
  <c r="AD340" i="1"/>
  <c r="Z340" i="1"/>
  <c r="O340" i="1"/>
  <c r="L340" i="1"/>
  <c r="J340" i="1"/>
  <c r="BW335" i="1"/>
  <c r="BJ335" i="1"/>
  <c r="AH335" i="1" s="1"/>
  <c r="BH335" i="1"/>
  <c r="BD335" i="1"/>
  <c r="AW335" i="1"/>
  <c r="AP335" i="1"/>
  <c r="AO335" i="1"/>
  <c r="AK335" i="1"/>
  <c r="AJ335" i="1"/>
  <c r="AG335" i="1"/>
  <c r="AF335" i="1"/>
  <c r="AE335" i="1"/>
  <c r="AD335" i="1"/>
  <c r="AC335" i="1"/>
  <c r="AB335" i="1"/>
  <c r="Z335" i="1"/>
  <c r="O335" i="1"/>
  <c r="O334" i="1" s="1"/>
  <c r="L335" i="1"/>
  <c r="J335" i="1"/>
  <c r="J334" i="1" s="1"/>
  <c r="AT334" i="1"/>
  <c r="AS334" i="1"/>
  <c r="BW332" i="1"/>
  <c r="BJ332" i="1"/>
  <c r="BF332" i="1"/>
  <c r="BD332" i="1"/>
  <c r="AP332" i="1"/>
  <c r="AO332" i="1"/>
  <c r="J332" i="1" s="1"/>
  <c r="AK332" i="1"/>
  <c r="AJ332" i="1"/>
  <c r="AH332" i="1"/>
  <c r="AE332" i="1"/>
  <c r="AD332" i="1"/>
  <c r="AC332" i="1"/>
  <c r="AB332" i="1"/>
  <c r="Z332" i="1"/>
  <c r="O332" i="1"/>
  <c r="L332" i="1"/>
  <c r="M332" i="1" s="1"/>
  <c r="BW331" i="1"/>
  <c r="BJ331" i="1"/>
  <c r="BF331" i="1"/>
  <c r="BD331" i="1"/>
  <c r="AP331" i="1"/>
  <c r="AX331" i="1" s="1"/>
  <c r="AO331" i="1"/>
  <c r="AL331" i="1"/>
  <c r="AK331" i="1"/>
  <c r="AJ331" i="1"/>
  <c r="AH331" i="1"/>
  <c r="AE331" i="1"/>
  <c r="AD331" i="1"/>
  <c r="AC331" i="1"/>
  <c r="AB331" i="1"/>
  <c r="Z331" i="1"/>
  <c r="O331" i="1"/>
  <c r="M331" i="1"/>
  <c r="L331" i="1"/>
  <c r="BW329" i="1"/>
  <c r="BJ329" i="1"/>
  <c r="BI329" i="1"/>
  <c r="AG329" i="1" s="1"/>
  <c r="BH329" i="1"/>
  <c r="AF329" i="1" s="1"/>
  <c r="BF329" i="1"/>
  <c r="BD329" i="1"/>
  <c r="AP329" i="1"/>
  <c r="AX329" i="1" s="1"/>
  <c r="AO329" i="1"/>
  <c r="AW329" i="1" s="1"/>
  <c r="AV329" i="1" s="1"/>
  <c r="AK329" i="1"/>
  <c r="AJ329" i="1"/>
  <c r="AH329" i="1"/>
  <c r="AE329" i="1"/>
  <c r="AD329" i="1"/>
  <c r="AC329" i="1"/>
  <c r="AB329" i="1"/>
  <c r="Z329" i="1"/>
  <c r="O329" i="1"/>
  <c r="L329" i="1"/>
  <c r="AL329" i="1" s="1"/>
  <c r="K329" i="1"/>
  <c r="J329" i="1"/>
  <c r="BW328" i="1"/>
  <c r="BJ328" i="1"/>
  <c r="BF328" i="1"/>
  <c r="BD328" i="1"/>
  <c r="AP328" i="1"/>
  <c r="BI328" i="1" s="1"/>
  <c r="AO328" i="1"/>
  <c r="AL328" i="1"/>
  <c r="AK328" i="1"/>
  <c r="AJ328" i="1"/>
  <c r="AH328" i="1"/>
  <c r="AG328" i="1"/>
  <c r="AE328" i="1"/>
  <c r="AD328" i="1"/>
  <c r="AC328" i="1"/>
  <c r="AB328" i="1"/>
  <c r="Z328" i="1"/>
  <c r="O328" i="1"/>
  <c r="L328" i="1"/>
  <c r="BW326" i="1"/>
  <c r="BJ326" i="1"/>
  <c r="BF326" i="1"/>
  <c r="BD326" i="1"/>
  <c r="AP326" i="1"/>
  <c r="AX326" i="1" s="1"/>
  <c r="AO326" i="1"/>
  <c r="J326" i="1" s="1"/>
  <c r="AL326" i="1"/>
  <c r="AK326" i="1"/>
  <c r="AJ326" i="1"/>
  <c r="AH326" i="1"/>
  <c r="AE326" i="1"/>
  <c r="AD326" i="1"/>
  <c r="AC326" i="1"/>
  <c r="AB326" i="1"/>
  <c r="Z326" i="1"/>
  <c r="O326" i="1"/>
  <c r="L326" i="1"/>
  <c r="M326" i="1" s="1"/>
  <c r="BW323" i="1"/>
  <c r="M323" i="1" s="1"/>
  <c r="BJ323" i="1"/>
  <c r="BD323" i="1"/>
  <c r="AP323" i="1"/>
  <c r="K323" i="1" s="1"/>
  <c r="AO323" i="1"/>
  <c r="J323" i="1" s="1"/>
  <c r="AL323" i="1"/>
  <c r="AK323" i="1"/>
  <c r="AJ323" i="1"/>
  <c r="AH323" i="1"/>
  <c r="AE323" i="1"/>
  <c r="AD323" i="1"/>
  <c r="AC323" i="1"/>
  <c r="AB323" i="1"/>
  <c r="Z323" i="1"/>
  <c r="O323" i="1"/>
  <c r="BF323" i="1" s="1"/>
  <c r="L323" i="1"/>
  <c r="BW321" i="1"/>
  <c r="BJ321" i="1"/>
  <c r="BD321" i="1"/>
  <c r="AP321" i="1"/>
  <c r="AO321" i="1"/>
  <c r="BH321" i="1" s="1"/>
  <c r="AF321" i="1" s="1"/>
  <c r="AL321" i="1"/>
  <c r="AK321" i="1"/>
  <c r="AJ321" i="1"/>
  <c r="AH321" i="1"/>
  <c r="AE321" i="1"/>
  <c r="AD321" i="1"/>
  <c r="AC321" i="1"/>
  <c r="AB321" i="1"/>
  <c r="Z321" i="1"/>
  <c r="O321" i="1"/>
  <c r="BF321" i="1" s="1"/>
  <c r="L321" i="1"/>
  <c r="BW319" i="1"/>
  <c r="BJ319" i="1"/>
  <c r="BF319" i="1"/>
  <c r="BD319" i="1"/>
  <c r="AP319" i="1"/>
  <c r="AX319" i="1" s="1"/>
  <c r="AO319" i="1"/>
  <c r="BH319" i="1" s="1"/>
  <c r="AF319" i="1" s="1"/>
  <c r="AL319" i="1"/>
  <c r="AK319" i="1"/>
  <c r="AJ319" i="1"/>
  <c r="AH319" i="1"/>
  <c r="AE319" i="1"/>
  <c r="AD319" i="1"/>
  <c r="AC319" i="1"/>
  <c r="AB319" i="1"/>
  <c r="Z319" i="1"/>
  <c r="O319" i="1"/>
  <c r="L319" i="1"/>
  <c r="M319" i="1" s="1"/>
  <c r="BW317" i="1"/>
  <c r="BJ317" i="1"/>
  <c r="BH317" i="1"/>
  <c r="AF317" i="1" s="1"/>
  <c r="BF317" i="1"/>
  <c r="BD317" i="1"/>
  <c r="AP317" i="1"/>
  <c r="AO317" i="1"/>
  <c r="AW317" i="1" s="1"/>
  <c r="AK317" i="1"/>
  <c r="AJ317" i="1"/>
  <c r="AH317" i="1"/>
  <c r="AE317" i="1"/>
  <c r="AD317" i="1"/>
  <c r="AC317" i="1"/>
  <c r="AB317" i="1"/>
  <c r="Z317" i="1"/>
  <c r="O317" i="1"/>
  <c r="L317" i="1"/>
  <c r="AL317" i="1" s="1"/>
  <c r="K317" i="1"/>
  <c r="J317" i="1"/>
  <c r="BW314" i="1"/>
  <c r="BJ314" i="1"/>
  <c r="BI314" i="1"/>
  <c r="AG314" i="1" s="1"/>
  <c r="BF314" i="1"/>
  <c r="BD314" i="1"/>
  <c r="AX314" i="1"/>
  <c r="AP314" i="1"/>
  <c r="K314" i="1" s="1"/>
  <c r="AO314" i="1"/>
  <c r="AK314" i="1"/>
  <c r="AJ314" i="1"/>
  <c r="AH314" i="1"/>
  <c r="AE314" i="1"/>
  <c r="AD314" i="1"/>
  <c r="AC314" i="1"/>
  <c r="AB314" i="1"/>
  <c r="Z314" i="1"/>
  <c r="O314" i="1"/>
  <c r="L314" i="1"/>
  <c r="AL314" i="1" s="1"/>
  <c r="BW312" i="1"/>
  <c r="BJ312" i="1"/>
  <c r="BD312" i="1"/>
  <c r="AP312" i="1"/>
  <c r="BI312" i="1" s="1"/>
  <c r="AO312" i="1"/>
  <c r="BH312" i="1" s="1"/>
  <c r="AF312" i="1" s="1"/>
  <c r="AL312" i="1"/>
  <c r="AK312" i="1"/>
  <c r="AJ312" i="1"/>
  <c r="AH312" i="1"/>
  <c r="AG312" i="1"/>
  <c r="AE312" i="1"/>
  <c r="AD312" i="1"/>
  <c r="AC312" i="1"/>
  <c r="AB312" i="1"/>
  <c r="Z312" i="1"/>
  <c r="O312" i="1"/>
  <c r="BF312" i="1" s="1"/>
  <c r="L312" i="1"/>
  <c r="M312" i="1" s="1"/>
  <c r="BW310" i="1"/>
  <c r="BJ310" i="1"/>
  <c r="BF310" i="1"/>
  <c r="BD310" i="1"/>
  <c r="AP310" i="1"/>
  <c r="AX310" i="1" s="1"/>
  <c r="AO310" i="1"/>
  <c r="AL310" i="1"/>
  <c r="AK310" i="1"/>
  <c r="AJ310" i="1"/>
  <c r="AH310" i="1"/>
  <c r="AE310" i="1"/>
  <c r="AD310" i="1"/>
  <c r="AC310" i="1"/>
  <c r="AB310" i="1"/>
  <c r="Z310" i="1"/>
  <c r="O310" i="1"/>
  <c r="L310" i="1"/>
  <c r="M310" i="1" s="1"/>
  <c r="O309" i="1"/>
  <c r="BW307" i="1"/>
  <c r="M307" i="1" s="1"/>
  <c r="BJ307" i="1"/>
  <c r="BF307" i="1"/>
  <c r="BD307" i="1"/>
  <c r="AP307" i="1"/>
  <c r="AO307" i="1"/>
  <c r="AL307" i="1"/>
  <c r="AK307" i="1"/>
  <c r="AJ307" i="1"/>
  <c r="AH307" i="1"/>
  <c r="AE307" i="1"/>
  <c r="AD307" i="1"/>
  <c r="AC307" i="1"/>
  <c r="AB307" i="1"/>
  <c r="Z307" i="1"/>
  <c r="O307" i="1"/>
  <c r="L307" i="1"/>
  <c r="BW304" i="1"/>
  <c r="BJ304" i="1"/>
  <c r="BF304" i="1"/>
  <c r="BD304" i="1"/>
  <c r="AP304" i="1"/>
  <c r="AX304" i="1" s="1"/>
  <c r="AO304" i="1"/>
  <c r="AW304" i="1" s="1"/>
  <c r="AV304" i="1" s="1"/>
  <c r="AK304" i="1"/>
  <c r="AJ304" i="1"/>
  <c r="AH304" i="1"/>
  <c r="AE304" i="1"/>
  <c r="AD304" i="1"/>
  <c r="AC304" i="1"/>
  <c r="AB304" i="1"/>
  <c r="Z304" i="1"/>
  <c r="O304" i="1"/>
  <c r="L304" i="1"/>
  <c r="AL304" i="1" s="1"/>
  <c r="BW302" i="1"/>
  <c r="BJ302" i="1"/>
  <c r="BF302" i="1"/>
  <c r="BD302" i="1"/>
  <c r="AP302" i="1"/>
  <c r="BI302" i="1" s="1"/>
  <c r="AG302" i="1" s="1"/>
  <c r="AO302" i="1"/>
  <c r="BH302" i="1" s="1"/>
  <c r="AF302" i="1" s="1"/>
  <c r="AK302" i="1"/>
  <c r="AJ302" i="1"/>
  <c r="AH302" i="1"/>
  <c r="AE302" i="1"/>
  <c r="AD302" i="1"/>
  <c r="AC302" i="1"/>
  <c r="AB302" i="1"/>
  <c r="Z302" i="1"/>
  <c r="O302" i="1"/>
  <c r="L302" i="1"/>
  <c r="AL302" i="1" s="1"/>
  <c r="BW299" i="1"/>
  <c r="BJ299" i="1"/>
  <c r="BF299" i="1"/>
  <c r="BD299" i="1"/>
  <c r="AP299" i="1"/>
  <c r="AO299" i="1"/>
  <c r="J299" i="1" s="1"/>
  <c r="AK299" i="1"/>
  <c r="AJ299" i="1"/>
  <c r="AH299" i="1"/>
  <c r="AE299" i="1"/>
  <c r="AD299" i="1"/>
  <c r="AC299" i="1"/>
  <c r="AB299" i="1"/>
  <c r="Z299" i="1"/>
  <c r="O299" i="1"/>
  <c r="L299" i="1"/>
  <c r="AL299" i="1" s="1"/>
  <c r="BW298" i="1"/>
  <c r="BJ298" i="1"/>
  <c r="BF298" i="1"/>
  <c r="BD298" i="1"/>
  <c r="AP298" i="1"/>
  <c r="AO298" i="1"/>
  <c r="AK298" i="1"/>
  <c r="AJ298" i="1"/>
  <c r="AH298" i="1"/>
  <c r="AE298" i="1"/>
  <c r="AD298" i="1"/>
  <c r="AC298" i="1"/>
  <c r="AB298" i="1"/>
  <c r="Z298" i="1"/>
  <c r="O298" i="1"/>
  <c r="L298" i="1"/>
  <c r="BW296" i="1"/>
  <c r="BJ296" i="1"/>
  <c r="BI296" i="1"/>
  <c r="AG296" i="1" s="1"/>
  <c r="BH296" i="1"/>
  <c r="AF296" i="1" s="1"/>
  <c r="BF296" i="1"/>
  <c r="BD296" i="1"/>
  <c r="AW296" i="1"/>
  <c r="AV296" i="1" s="1"/>
  <c r="AP296" i="1"/>
  <c r="AX296" i="1" s="1"/>
  <c r="AO296" i="1"/>
  <c r="AK296" i="1"/>
  <c r="AJ296" i="1"/>
  <c r="AH296" i="1"/>
  <c r="AE296" i="1"/>
  <c r="AD296" i="1"/>
  <c r="AC296" i="1"/>
  <c r="AB296" i="1"/>
  <c r="Z296" i="1"/>
  <c r="O296" i="1"/>
  <c r="L296" i="1"/>
  <c r="AL296" i="1" s="1"/>
  <c r="K296" i="1"/>
  <c r="J296" i="1"/>
  <c r="BW294" i="1"/>
  <c r="BJ294" i="1"/>
  <c r="BF294" i="1"/>
  <c r="BD294" i="1"/>
  <c r="AP294" i="1"/>
  <c r="AO294" i="1"/>
  <c r="AK294" i="1"/>
  <c r="AJ294" i="1"/>
  <c r="AH294" i="1"/>
  <c r="AE294" i="1"/>
  <c r="AD294" i="1"/>
  <c r="AC294" i="1"/>
  <c r="AB294" i="1"/>
  <c r="Z294" i="1"/>
  <c r="O294" i="1"/>
  <c r="L294" i="1"/>
  <c r="AL294" i="1" s="1"/>
  <c r="BW293" i="1"/>
  <c r="BJ293" i="1"/>
  <c r="BF293" i="1"/>
  <c r="BD293" i="1"/>
  <c r="AW293" i="1"/>
  <c r="AP293" i="1"/>
  <c r="AO293" i="1"/>
  <c r="AK293" i="1"/>
  <c r="AJ293" i="1"/>
  <c r="AH293" i="1"/>
  <c r="AE293" i="1"/>
  <c r="AD293" i="1"/>
  <c r="AC293" i="1"/>
  <c r="AB293" i="1"/>
  <c r="Z293" i="1"/>
  <c r="O293" i="1"/>
  <c r="L293" i="1"/>
  <c r="AL293" i="1" s="1"/>
  <c r="BW291" i="1"/>
  <c r="BJ291" i="1"/>
  <c r="BD291" i="1"/>
  <c r="AP291" i="1"/>
  <c r="BI291" i="1" s="1"/>
  <c r="AG291" i="1" s="1"/>
  <c r="AO291" i="1"/>
  <c r="J291" i="1" s="1"/>
  <c r="AL291" i="1"/>
  <c r="AK291" i="1"/>
  <c r="AJ291" i="1"/>
  <c r="AH291" i="1"/>
  <c r="AE291" i="1"/>
  <c r="AD291" i="1"/>
  <c r="AC291" i="1"/>
  <c r="AB291" i="1"/>
  <c r="Z291" i="1"/>
  <c r="O291" i="1"/>
  <c r="BF291" i="1" s="1"/>
  <c r="L291" i="1"/>
  <c r="M291" i="1" s="1"/>
  <c r="BW289" i="1"/>
  <c r="BJ289" i="1"/>
  <c r="BF289" i="1"/>
  <c r="BD289" i="1"/>
  <c r="AP289" i="1"/>
  <c r="AO289" i="1"/>
  <c r="BH289" i="1" s="1"/>
  <c r="AF289" i="1" s="1"/>
  <c r="AK289" i="1"/>
  <c r="AJ289" i="1"/>
  <c r="AH289" i="1"/>
  <c r="AE289" i="1"/>
  <c r="AD289" i="1"/>
  <c r="AC289" i="1"/>
  <c r="AB289" i="1"/>
  <c r="Z289" i="1"/>
  <c r="O289" i="1"/>
  <c r="L289" i="1"/>
  <c r="AL289" i="1" s="1"/>
  <c r="BW287" i="1"/>
  <c r="BJ287" i="1"/>
  <c r="BF287" i="1"/>
  <c r="BD287" i="1"/>
  <c r="AP287" i="1"/>
  <c r="BI287" i="1" s="1"/>
  <c r="AG287" i="1" s="1"/>
  <c r="AO287" i="1"/>
  <c r="J287" i="1" s="1"/>
  <c r="AK287" i="1"/>
  <c r="AJ287" i="1"/>
  <c r="AH287" i="1"/>
  <c r="AE287" i="1"/>
  <c r="AD287" i="1"/>
  <c r="AC287" i="1"/>
  <c r="AB287" i="1"/>
  <c r="Z287" i="1"/>
  <c r="O287" i="1"/>
  <c r="L287" i="1"/>
  <c r="AL287" i="1" s="1"/>
  <c r="BW286" i="1"/>
  <c r="BJ286" i="1"/>
  <c r="BF286" i="1"/>
  <c r="BD286" i="1"/>
  <c r="AP286" i="1"/>
  <c r="AO286" i="1"/>
  <c r="AL286" i="1"/>
  <c r="AK286" i="1"/>
  <c r="AJ286" i="1"/>
  <c r="AH286" i="1"/>
  <c r="AE286" i="1"/>
  <c r="AD286" i="1"/>
  <c r="AC286" i="1"/>
  <c r="AB286" i="1"/>
  <c r="Z286" i="1"/>
  <c r="O286" i="1"/>
  <c r="L286" i="1"/>
  <c r="BW284" i="1"/>
  <c r="BJ284" i="1"/>
  <c r="BD284" i="1"/>
  <c r="AP284" i="1"/>
  <c r="AX284" i="1" s="1"/>
  <c r="AO284" i="1"/>
  <c r="AK284" i="1"/>
  <c r="AJ284" i="1"/>
  <c r="AH284" i="1"/>
  <c r="AE284" i="1"/>
  <c r="AD284" i="1"/>
  <c r="AC284" i="1"/>
  <c r="AB284" i="1"/>
  <c r="Z284" i="1"/>
  <c r="O284" i="1"/>
  <c r="BF284" i="1" s="1"/>
  <c r="L284" i="1"/>
  <c r="AL284" i="1" s="1"/>
  <c r="BW282" i="1"/>
  <c r="BJ282" i="1"/>
  <c r="BF282" i="1"/>
  <c r="BD282" i="1"/>
  <c r="AP282" i="1"/>
  <c r="BI282" i="1" s="1"/>
  <c r="AG282" i="1" s="1"/>
  <c r="AO282" i="1"/>
  <c r="BH282" i="1" s="1"/>
  <c r="AF282" i="1" s="1"/>
  <c r="AL282" i="1"/>
  <c r="AK282" i="1"/>
  <c r="AJ282" i="1"/>
  <c r="AH282" i="1"/>
  <c r="AE282" i="1"/>
  <c r="AD282" i="1"/>
  <c r="AC282" i="1"/>
  <c r="AB282" i="1"/>
  <c r="Z282" i="1"/>
  <c r="O282" i="1"/>
  <c r="L282" i="1"/>
  <c r="M282" i="1" s="1"/>
  <c r="BW280" i="1"/>
  <c r="BJ280" i="1"/>
  <c r="BF280" i="1"/>
  <c r="BD280" i="1"/>
  <c r="AP280" i="1"/>
  <c r="AO280" i="1"/>
  <c r="BH280" i="1" s="1"/>
  <c r="AF280" i="1" s="1"/>
  <c r="AL280" i="1"/>
  <c r="AK280" i="1"/>
  <c r="AJ280" i="1"/>
  <c r="AH280" i="1"/>
  <c r="AE280" i="1"/>
  <c r="AD280" i="1"/>
  <c r="AC280" i="1"/>
  <c r="AB280" i="1"/>
  <c r="Z280" i="1"/>
  <c r="O280" i="1"/>
  <c r="L280" i="1"/>
  <c r="BW277" i="1"/>
  <c r="BJ277" i="1"/>
  <c r="BD277" i="1"/>
  <c r="AP277" i="1"/>
  <c r="AX277" i="1" s="1"/>
  <c r="AO277" i="1"/>
  <c r="J277" i="1" s="1"/>
  <c r="AK277" i="1"/>
  <c r="AJ277" i="1"/>
  <c r="AH277" i="1"/>
  <c r="AE277" i="1"/>
  <c r="AD277" i="1"/>
  <c r="AC277" i="1"/>
  <c r="AB277" i="1"/>
  <c r="Z277" i="1"/>
  <c r="O277" i="1"/>
  <c r="BF277" i="1" s="1"/>
  <c r="L277" i="1"/>
  <c r="BW275" i="1"/>
  <c r="BJ275" i="1"/>
  <c r="BF275" i="1"/>
  <c r="BD275" i="1"/>
  <c r="AP275" i="1"/>
  <c r="AX275" i="1" s="1"/>
  <c r="AO275" i="1"/>
  <c r="AW275" i="1" s="1"/>
  <c r="AK275" i="1"/>
  <c r="AJ275" i="1"/>
  <c r="AH275" i="1"/>
  <c r="AE275" i="1"/>
  <c r="AD275" i="1"/>
  <c r="AC275" i="1"/>
  <c r="AB275" i="1"/>
  <c r="Z275" i="1"/>
  <c r="O275" i="1"/>
  <c r="L275" i="1"/>
  <c r="M275" i="1" s="1"/>
  <c r="BW274" i="1"/>
  <c r="BJ274" i="1"/>
  <c r="BD274" i="1"/>
  <c r="AP274" i="1"/>
  <c r="BI274" i="1" s="1"/>
  <c r="AC274" i="1" s="1"/>
  <c r="AO274" i="1"/>
  <c r="J274" i="1" s="1"/>
  <c r="AL274" i="1"/>
  <c r="AK274" i="1"/>
  <c r="AJ274" i="1"/>
  <c r="AH274" i="1"/>
  <c r="AG274" i="1"/>
  <c r="AF274" i="1"/>
  <c r="AE274" i="1"/>
  <c r="AD274" i="1"/>
  <c r="Z274" i="1"/>
  <c r="O274" i="1"/>
  <c r="L274" i="1"/>
  <c r="M274" i="1" s="1"/>
  <c r="BW272" i="1"/>
  <c r="BJ272" i="1"/>
  <c r="BH272" i="1"/>
  <c r="AF272" i="1" s="1"/>
  <c r="BF272" i="1"/>
  <c r="BD272" i="1"/>
  <c r="AW272" i="1"/>
  <c r="AP272" i="1"/>
  <c r="BI272" i="1" s="1"/>
  <c r="AG272" i="1" s="1"/>
  <c r="AO272" i="1"/>
  <c r="AK272" i="1"/>
  <c r="AJ272" i="1"/>
  <c r="AS271" i="1" s="1"/>
  <c r="AH272" i="1"/>
  <c r="AE272" i="1"/>
  <c r="AD272" i="1"/>
  <c r="AC272" i="1"/>
  <c r="AB272" i="1"/>
  <c r="Z272" i="1"/>
  <c r="O272" i="1"/>
  <c r="O271" i="1" s="1"/>
  <c r="L272" i="1"/>
  <c r="J272" i="1"/>
  <c r="J271" i="1" s="1"/>
  <c r="AT271" i="1"/>
  <c r="BW268" i="1"/>
  <c r="BJ268" i="1"/>
  <c r="BF268" i="1"/>
  <c r="BD268" i="1"/>
  <c r="AP268" i="1"/>
  <c r="BI268" i="1" s="1"/>
  <c r="AG268" i="1" s="1"/>
  <c r="AO268" i="1"/>
  <c r="J268" i="1" s="1"/>
  <c r="AL268" i="1"/>
  <c r="AK268" i="1"/>
  <c r="AJ268" i="1"/>
  <c r="AH268" i="1"/>
  <c r="AE268" i="1"/>
  <c r="AD268" i="1"/>
  <c r="AC268" i="1"/>
  <c r="AB268" i="1"/>
  <c r="Z268" i="1"/>
  <c r="O268" i="1"/>
  <c r="L268" i="1"/>
  <c r="M268" i="1" s="1"/>
  <c r="BW265" i="1"/>
  <c r="BJ265" i="1"/>
  <c r="BF265" i="1"/>
  <c r="BD265" i="1"/>
  <c r="AP265" i="1"/>
  <c r="AX265" i="1" s="1"/>
  <c r="AO265" i="1"/>
  <c r="AK265" i="1"/>
  <c r="AJ265" i="1"/>
  <c r="AH265" i="1"/>
  <c r="AE265" i="1"/>
  <c r="AD265" i="1"/>
  <c r="AC265" i="1"/>
  <c r="AB265" i="1"/>
  <c r="Z265" i="1"/>
  <c r="O265" i="1"/>
  <c r="L265" i="1"/>
  <c r="M265" i="1" s="1"/>
  <c r="BW262" i="1"/>
  <c r="BJ262" i="1"/>
  <c r="BF262" i="1"/>
  <c r="BD262" i="1"/>
  <c r="AP262" i="1"/>
  <c r="BI262" i="1" s="1"/>
  <c r="AG262" i="1" s="1"/>
  <c r="AO262" i="1"/>
  <c r="BH262" i="1" s="1"/>
  <c r="AF262" i="1" s="1"/>
  <c r="AK262" i="1"/>
  <c r="AJ262" i="1"/>
  <c r="AH262" i="1"/>
  <c r="AE262" i="1"/>
  <c r="AD262" i="1"/>
  <c r="AC262" i="1"/>
  <c r="AB262" i="1"/>
  <c r="Z262" i="1"/>
  <c r="O262" i="1"/>
  <c r="L262" i="1"/>
  <c r="AL262" i="1" s="1"/>
  <c r="BW260" i="1"/>
  <c r="BJ260" i="1"/>
  <c r="BF260" i="1"/>
  <c r="BD260" i="1"/>
  <c r="AP260" i="1"/>
  <c r="BI260" i="1" s="1"/>
  <c r="AG260" i="1" s="1"/>
  <c r="AO260" i="1"/>
  <c r="AK260" i="1"/>
  <c r="AJ260" i="1"/>
  <c r="AH260" i="1"/>
  <c r="AE260" i="1"/>
  <c r="AD260" i="1"/>
  <c r="AC260" i="1"/>
  <c r="AB260" i="1"/>
  <c r="Z260" i="1"/>
  <c r="O260" i="1"/>
  <c r="L260" i="1"/>
  <c r="BW259" i="1"/>
  <c r="BJ259" i="1"/>
  <c r="BD259" i="1"/>
  <c r="AP259" i="1"/>
  <c r="AO259" i="1"/>
  <c r="J259" i="1" s="1"/>
  <c r="AK259" i="1"/>
  <c r="AJ259" i="1"/>
  <c r="AH259" i="1"/>
  <c r="AE259" i="1"/>
  <c r="AD259" i="1"/>
  <c r="AC259" i="1"/>
  <c r="AB259" i="1"/>
  <c r="Z259" i="1"/>
  <c r="O259" i="1"/>
  <c r="BF259" i="1" s="1"/>
  <c r="L259" i="1"/>
  <c r="AL259" i="1" s="1"/>
  <c r="BW256" i="1"/>
  <c r="BJ256" i="1"/>
  <c r="BF256" i="1"/>
  <c r="BD256" i="1"/>
  <c r="AP256" i="1"/>
  <c r="BI256" i="1" s="1"/>
  <c r="AG256" i="1" s="1"/>
  <c r="AO256" i="1"/>
  <c r="AK256" i="1"/>
  <c r="AJ256" i="1"/>
  <c r="AH256" i="1"/>
  <c r="AE256" i="1"/>
  <c r="AD256" i="1"/>
  <c r="AC256" i="1"/>
  <c r="AB256" i="1"/>
  <c r="Z256" i="1"/>
  <c r="O256" i="1"/>
  <c r="L256" i="1"/>
  <c r="BW254" i="1"/>
  <c r="BJ254" i="1"/>
  <c r="BH254" i="1"/>
  <c r="AF254" i="1" s="1"/>
  <c r="BF254" i="1"/>
  <c r="BD254" i="1"/>
  <c r="AW254" i="1"/>
  <c r="AP254" i="1"/>
  <c r="AO254" i="1"/>
  <c r="AK254" i="1"/>
  <c r="AJ254" i="1"/>
  <c r="AH254" i="1"/>
  <c r="AE254" i="1"/>
  <c r="AD254" i="1"/>
  <c r="AC254" i="1"/>
  <c r="AB254" i="1"/>
  <c r="Z254" i="1"/>
  <c r="O254" i="1"/>
  <c r="L254" i="1"/>
  <c r="AL254" i="1" s="1"/>
  <c r="BW252" i="1"/>
  <c r="BJ252" i="1"/>
  <c r="BD252" i="1"/>
  <c r="AP252" i="1"/>
  <c r="AO252" i="1"/>
  <c r="BH252" i="1" s="1"/>
  <c r="AK252" i="1"/>
  <c r="AJ252" i="1"/>
  <c r="AH252" i="1"/>
  <c r="AF252" i="1"/>
  <c r="AE252" i="1"/>
  <c r="AD252" i="1"/>
  <c r="AC252" i="1"/>
  <c r="AB252" i="1"/>
  <c r="Z252" i="1"/>
  <c r="O252" i="1"/>
  <c r="BF252" i="1" s="1"/>
  <c r="L252" i="1"/>
  <c r="AL252" i="1" s="1"/>
  <c r="J252" i="1"/>
  <c r="BW251" i="1"/>
  <c r="BJ251" i="1"/>
  <c r="BF251" i="1"/>
  <c r="BD251" i="1"/>
  <c r="AP251" i="1"/>
  <c r="BI251" i="1" s="1"/>
  <c r="AG251" i="1" s="1"/>
  <c r="AO251" i="1"/>
  <c r="AK251" i="1"/>
  <c r="AJ251" i="1"/>
  <c r="AH251" i="1"/>
  <c r="AE251" i="1"/>
  <c r="AD251" i="1"/>
  <c r="AC251" i="1"/>
  <c r="AB251" i="1"/>
  <c r="Z251" i="1"/>
  <c r="O251" i="1"/>
  <c r="L251" i="1"/>
  <c r="M251" i="1" s="1"/>
  <c r="BW250" i="1"/>
  <c r="BJ250" i="1"/>
  <c r="BI250" i="1"/>
  <c r="AG250" i="1" s="1"/>
  <c r="BH250" i="1"/>
  <c r="AF250" i="1" s="1"/>
  <c r="BD250" i="1"/>
  <c r="AP250" i="1"/>
  <c r="AX250" i="1" s="1"/>
  <c r="AO250" i="1"/>
  <c r="AW250" i="1" s="1"/>
  <c r="AK250" i="1"/>
  <c r="AJ250" i="1"/>
  <c r="AH250" i="1"/>
  <c r="AE250" i="1"/>
  <c r="AD250" i="1"/>
  <c r="AC250" i="1"/>
  <c r="AB250" i="1"/>
  <c r="Z250" i="1"/>
  <c r="O250" i="1"/>
  <c r="L250" i="1"/>
  <c r="AL250" i="1" s="1"/>
  <c r="K250" i="1"/>
  <c r="J250" i="1"/>
  <c r="BW247" i="1"/>
  <c r="BJ247" i="1"/>
  <c r="BD247" i="1"/>
  <c r="AP247" i="1"/>
  <c r="K247" i="1" s="1"/>
  <c r="AO247" i="1"/>
  <c r="J247" i="1" s="1"/>
  <c r="AK247" i="1"/>
  <c r="AJ247" i="1"/>
  <c r="AH247" i="1"/>
  <c r="AG247" i="1"/>
  <c r="AF247" i="1"/>
  <c r="AE247" i="1"/>
  <c r="AD247" i="1"/>
  <c r="Z247" i="1"/>
  <c r="O247" i="1"/>
  <c r="BF247" i="1" s="1"/>
  <c r="L247" i="1"/>
  <c r="M247" i="1" s="1"/>
  <c r="BW244" i="1"/>
  <c r="BJ244" i="1"/>
  <c r="BF244" i="1"/>
  <c r="BD244" i="1"/>
  <c r="AP244" i="1"/>
  <c r="AX244" i="1" s="1"/>
  <c r="AO244" i="1"/>
  <c r="BH244" i="1" s="1"/>
  <c r="AB244" i="1" s="1"/>
  <c r="AL244" i="1"/>
  <c r="AK244" i="1"/>
  <c r="AT243" i="1" s="1"/>
  <c r="AJ244" i="1"/>
  <c r="AS243" i="1" s="1"/>
  <c r="AH244" i="1"/>
  <c r="AG244" i="1"/>
  <c r="AF244" i="1"/>
  <c r="AE244" i="1"/>
  <c r="AD244" i="1"/>
  <c r="Z244" i="1"/>
  <c r="O244" i="1"/>
  <c r="O243" i="1" s="1"/>
  <c r="L244" i="1"/>
  <c r="M244" i="1" s="1"/>
  <c r="BW240" i="1"/>
  <c r="M240" i="1" s="1"/>
  <c r="M239" i="1" s="1"/>
  <c r="BJ240" i="1"/>
  <c r="BF240" i="1"/>
  <c r="BD240" i="1"/>
  <c r="AP240" i="1"/>
  <c r="AX240" i="1" s="1"/>
  <c r="AO240" i="1"/>
  <c r="BH240" i="1" s="1"/>
  <c r="AB240" i="1" s="1"/>
  <c r="AL240" i="1"/>
  <c r="AU239" i="1" s="1"/>
  <c r="AK240" i="1"/>
  <c r="AT239" i="1" s="1"/>
  <c r="AJ240" i="1"/>
  <c r="AS239" i="1" s="1"/>
  <c r="AH240" i="1"/>
  <c r="AG240" i="1"/>
  <c r="AF240" i="1"/>
  <c r="AE240" i="1"/>
  <c r="AD240" i="1"/>
  <c r="Z240" i="1"/>
  <c r="O240" i="1"/>
  <c r="O239" i="1" s="1"/>
  <c r="L240" i="1"/>
  <c r="L239" i="1"/>
  <c r="BW235" i="1"/>
  <c r="BJ235" i="1"/>
  <c r="BI235" i="1"/>
  <c r="AC235" i="1" s="1"/>
  <c r="BF235" i="1"/>
  <c r="BD235" i="1"/>
  <c r="AW235" i="1"/>
  <c r="BC235" i="1" s="1"/>
  <c r="AP235" i="1"/>
  <c r="AX235" i="1" s="1"/>
  <c r="AO235" i="1"/>
  <c r="BH235" i="1" s="1"/>
  <c r="AB235" i="1" s="1"/>
  <c r="AK235" i="1"/>
  <c r="AT234" i="1" s="1"/>
  <c r="AJ235" i="1"/>
  <c r="AS234" i="1" s="1"/>
  <c r="AH235" i="1"/>
  <c r="AG235" i="1"/>
  <c r="AF235" i="1"/>
  <c r="AE235" i="1"/>
  <c r="AD235" i="1"/>
  <c r="Z235" i="1"/>
  <c r="O235" i="1"/>
  <c r="O234" i="1" s="1"/>
  <c r="L235" i="1"/>
  <c r="L234" i="1" s="1"/>
  <c r="K235" i="1"/>
  <c r="K234" i="1" s="1"/>
  <c r="J235" i="1"/>
  <c r="J234" i="1" s="1"/>
  <c r="BW229" i="1"/>
  <c r="BJ229" i="1"/>
  <c r="AH229" i="1" s="1"/>
  <c r="BF229" i="1"/>
  <c r="BD229" i="1"/>
  <c r="AP229" i="1"/>
  <c r="AO229" i="1"/>
  <c r="AK229" i="1"/>
  <c r="AJ229" i="1"/>
  <c r="AG229" i="1"/>
  <c r="AF229" i="1"/>
  <c r="AE229" i="1"/>
  <c r="AD229" i="1"/>
  <c r="AC229" i="1"/>
  <c r="AB229" i="1"/>
  <c r="Z229" i="1"/>
  <c r="O229" i="1"/>
  <c r="L229" i="1"/>
  <c r="M229" i="1" s="1"/>
  <c r="BW227" i="1"/>
  <c r="BJ227" i="1"/>
  <c r="AH227" i="1" s="1"/>
  <c r="BD227" i="1"/>
  <c r="AP227" i="1"/>
  <c r="BI227" i="1" s="1"/>
  <c r="AO227" i="1"/>
  <c r="BH227" i="1" s="1"/>
  <c r="AK227" i="1"/>
  <c r="AJ227" i="1"/>
  <c r="AG227" i="1"/>
  <c r="AF227" i="1"/>
  <c r="AE227" i="1"/>
  <c r="AD227" i="1"/>
  <c r="AC227" i="1"/>
  <c r="AB227" i="1"/>
  <c r="Z227" i="1"/>
  <c r="O227" i="1"/>
  <c r="L227" i="1"/>
  <c r="BW225" i="1"/>
  <c r="BJ225" i="1"/>
  <c r="Z225" i="1" s="1"/>
  <c r="BD225" i="1"/>
  <c r="AP225" i="1"/>
  <c r="K225" i="1" s="1"/>
  <c r="AO225" i="1"/>
  <c r="BH225" i="1" s="1"/>
  <c r="AL225" i="1"/>
  <c r="AK225" i="1"/>
  <c r="AJ225" i="1"/>
  <c r="AS219" i="1" s="1"/>
  <c r="AH225" i="1"/>
  <c r="AG225" i="1"/>
  <c r="AF225" i="1"/>
  <c r="AE225" i="1"/>
  <c r="AD225" i="1"/>
  <c r="AC225" i="1"/>
  <c r="AB225" i="1"/>
  <c r="O225" i="1"/>
  <c r="BF225" i="1" s="1"/>
  <c r="L225" i="1"/>
  <c r="BW222" i="1"/>
  <c r="BJ222" i="1"/>
  <c r="Z222" i="1" s="1"/>
  <c r="BF222" i="1"/>
  <c r="BD222" i="1"/>
  <c r="AP222" i="1"/>
  <c r="AO222" i="1"/>
  <c r="BH222" i="1" s="1"/>
  <c r="AK222" i="1"/>
  <c r="AJ222" i="1"/>
  <c r="AH222" i="1"/>
  <c r="AG222" i="1"/>
  <c r="AF222" i="1"/>
  <c r="AE222" i="1"/>
  <c r="AD222" i="1"/>
  <c r="AC222" i="1"/>
  <c r="AB222" i="1"/>
  <c r="O222" i="1"/>
  <c r="L222" i="1"/>
  <c r="AL222" i="1" s="1"/>
  <c r="BW220" i="1"/>
  <c r="BJ220" i="1"/>
  <c r="Z220" i="1" s="1"/>
  <c r="BD220" i="1"/>
  <c r="AP220" i="1"/>
  <c r="AO220" i="1"/>
  <c r="J220" i="1" s="1"/>
  <c r="AK220" i="1"/>
  <c r="AJ220" i="1"/>
  <c r="AH220" i="1"/>
  <c r="AG220" i="1"/>
  <c r="AF220" i="1"/>
  <c r="AE220" i="1"/>
  <c r="AD220" i="1"/>
  <c r="AC220" i="1"/>
  <c r="AB220" i="1"/>
  <c r="O220" i="1"/>
  <c r="BF220" i="1" s="1"/>
  <c r="L220" i="1"/>
  <c r="O219" i="1"/>
  <c r="BW217" i="1"/>
  <c r="BJ217" i="1"/>
  <c r="Z217" i="1" s="1"/>
  <c r="BD217" i="1"/>
  <c r="AP217" i="1"/>
  <c r="AX217" i="1" s="1"/>
  <c r="AO217" i="1"/>
  <c r="AK217" i="1"/>
  <c r="AJ217" i="1"/>
  <c r="AS216" i="1" s="1"/>
  <c r="AH217" i="1"/>
  <c r="AG217" i="1"/>
  <c r="AF217" i="1"/>
  <c r="AE217" i="1"/>
  <c r="AD217" i="1"/>
  <c r="AC217" i="1"/>
  <c r="AB217" i="1"/>
  <c r="O217" i="1"/>
  <c r="BF217" i="1" s="1"/>
  <c r="L217" i="1"/>
  <c r="M217" i="1" s="1"/>
  <c r="AT216" i="1"/>
  <c r="O216" i="1"/>
  <c r="M216" i="1"/>
  <c r="L216" i="1"/>
  <c r="BW215" i="1"/>
  <c r="BJ215" i="1"/>
  <c r="BH215" i="1"/>
  <c r="AB215" i="1" s="1"/>
  <c r="BD215" i="1"/>
  <c r="AP215" i="1"/>
  <c r="AX215" i="1" s="1"/>
  <c r="BC215" i="1" s="1"/>
  <c r="AO215" i="1"/>
  <c r="AW215" i="1" s="1"/>
  <c r="AV215" i="1" s="1"/>
  <c r="AK215" i="1"/>
  <c r="AJ215" i="1"/>
  <c r="AH215" i="1"/>
  <c r="AG215" i="1"/>
  <c r="AF215" i="1"/>
  <c r="AE215" i="1"/>
  <c r="AD215" i="1"/>
  <c r="Z215" i="1"/>
  <c r="O215" i="1"/>
  <c r="BF215" i="1" s="1"/>
  <c r="L215" i="1"/>
  <c r="AL215" i="1" s="1"/>
  <c r="J215" i="1"/>
  <c r="BW214" i="1"/>
  <c r="BJ214" i="1"/>
  <c r="BF214" i="1"/>
  <c r="BD214" i="1"/>
  <c r="AP214" i="1"/>
  <c r="BI214" i="1" s="1"/>
  <c r="AC214" i="1" s="1"/>
  <c r="AO214" i="1"/>
  <c r="BH214" i="1" s="1"/>
  <c r="AK214" i="1"/>
  <c r="AJ214" i="1"/>
  <c r="AH214" i="1"/>
  <c r="AG214" i="1"/>
  <c r="AF214" i="1"/>
  <c r="AE214" i="1"/>
  <c r="AD214" i="1"/>
  <c r="AB214" i="1"/>
  <c r="Z214" i="1"/>
  <c r="O214" i="1"/>
  <c r="L214" i="1"/>
  <c r="AL214" i="1" s="1"/>
  <c r="K214" i="1"/>
  <c r="BW213" i="1"/>
  <c r="BJ213" i="1"/>
  <c r="BF213" i="1"/>
  <c r="BD213" i="1"/>
  <c r="AP213" i="1"/>
  <c r="AO213" i="1"/>
  <c r="J213" i="1" s="1"/>
  <c r="AL213" i="1"/>
  <c r="AK213" i="1"/>
  <c r="AJ213" i="1"/>
  <c r="AH213" i="1"/>
  <c r="AG213" i="1"/>
  <c r="AF213" i="1"/>
  <c r="AE213" i="1"/>
  <c r="AD213" i="1"/>
  <c r="Z213" i="1"/>
  <c r="O213" i="1"/>
  <c r="L213" i="1"/>
  <c r="M213" i="1" s="1"/>
  <c r="BW212" i="1"/>
  <c r="BJ212" i="1"/>
  <c r="BF212" i="1"/>
  <c r="BD212" i="1"/>
  <c r="AP212" i="1"/>
  <c r="BI212" i="1" s="1"/>
  <c r="AC212" i="1" s="1"/>
  <c r="AO212" i="1"/>
  <c r="AW212" i="1" s="1"/>
  <c r="AK212" i="1"/>
  <c r="AJ212" i="1"/>
  <c r="AH212" i="1"/>
  <c r="AG212" i="1"/>
  <c r="AF212" i="1"/>
  <c r="AE212" i="1"/>
  <c r="AD212" i="1"/>
  <c r="Z212" i="1"/>
  <c r="O212" i="1"/>
  <c r="L212" i="1"/>
  <c r="O211" i="1"/>
  <c r="BW210" i="1"/>
  <c r="BJ210" i="1"/>
  <c r="BD210" i="1"/>
  <c r="AP210" i="1"/>
  <c r="K210" i="1" s="1"/>
  <c r="AO210" i="1"/>
  <c r="J210" i="1" s="1"/>
  <c r="AK210" i="1"/>
  <c r="AJ210" i="1"/>
  <c r="AH210" i="1"/>
  <c r="AG210" i="1"/>
  <c r="AF210" i="1"/>
  <c r="AE210" i="1"/>
  <c r="AD210" i="1"/>
  <c r="Z210" i="1"/>
  <c r="O210" i="1"/>
  <c r="O208" i="1" s="1"/>
  <c r="L210" i="1"/>
  <c r="BW209" i="1"/>
  <c r="BJ209" i="1"/>
  <c r="BD209" i="1"/>
  <c r="AP209" i="1"/>
  <c r="AX209" i="1" s="1"/>
  <c r="AO209" i="1"/>
  <c r="J209" i="1" s="1"/>
  <c r="AK209" i="1"/>
  <c r="AJ209" i="1"/>
  <c r="AH209" i="1"/>
  <c r="AG209" i="1"/>
  <c r="AF209" i="1"/>
  <c r="AE209" i="1"/>
  <c r="AD209" i="1"/>
  <c r="Z209" i="1"/>
  <c r="O209" i="1"/>
  <c r="BF209" i="1" s="1"/>
  <c r="L209" i="1"/>
  <c r="AL209" i="1" s="1"/>
  <c r="BW205" i="1"/>
  <c r="BJ205" i="1"/>
  <c r="BD205" i="1"/>
  <c r="AP205" i="1"/>
  <c r="AO205" i="1"/>
  <c r="AL205" i="1"/>
  <c r="AK205" i="1"/>
  <c r="AJ205" i="1"/>
  <c r="AH205" i="1"/>
  <c r="AG205" i="1"/>
  <c r="AF205" i="1"/>
  <c r="AE205" i="1"/>
  <c r="AD205" i="1"/>
  <c r="Z205" i="1"/>
  <c r="O205" i="1"/>
  <c r="BF205" i="1" s="1"/>
  <c r="L205" i="1"/>
  <c r="M205" i="1" s="1"/>
  <c r="BW204" i="1"/>
  <c r="BJ204" i="1"/>
  <c r="BH204" i="1"/>
  <c r="AB204" i="1" s="1"/>
  <c r="BD204" i="1"/>
  <c r="AP204" i="1"/>
  <c r="K204" i="1" s="1"/>
  <c r="AO204" i="1"/>
  <c r="AW204" i="1" s="1"/>
  <c r="AK204" i="1"/>
  <c r="AJ204" i="1"/>
  <c r="AS203" i="1" s="1"/>
  <c r="AH204" i="1"/>
  <c r="AG204" i="1"/>
  <c r="AF204" i="1"/>
  <c r="AE204" i="1"/>
  <c r="AD204" i="1"/>
  <c r="Z204" i="1"/>
  <c r="O204" i="1"/>
  <c r="L204" i="1"/>
  <c r="J204" i="1"/>
  <c r="BW200" i="1"/>
  <c r="BJ200" i="1"/>
  <c r="BF200" i="1"/>
  <c r="BD200" i="1"/>
  <c r="AP200" i="1"/>
  <c r="K200" i="1" s="1"/>
  <c r="AO200" i="1"/>
  <c r="AK200" i="1"/>
  <c r="AJ200" i="1"/>
  <c r="AH200" i="1"/>
  <c r="AG200" i="1"/>
  <c r="AF200" i="1"/>
  <c r="AE200" i="1"/>
  <c r="AD200" i="1"/>
  <c r="Z200" i="1"/>
  <c r="O200" i="1"/>
  <c r="L200" i="1"/>
  <c r="BW197" i="1"/>
  <c r="BJ197" i="1"/>
  <c r="BH197" i="1"/>
  <c r="AB197" i="1" s="1"/>
  <c r="BF197" i="1"/>
  <c r="BD197" i="1"/>
  <c r="AW197" i="1"/>
  <c r="AP197" i="1"/>
  <c r="AO197" i="1"/>
  <c r="AK197" i="1"/>
  <c r="AJ197" i="1"/>
  <c r="AH197" i="1"/>
  <c r="AG197" i="1"/>
  <c r="AF197" i="1"/>
  <c r="AE197" i="1"/>
  <c r="AD197" i="1"/>
  <c r="Z197" i="1"/>
  <c r="O197" i="1"/>
  <c r="O193" i="1" s="1"/>
  <c r="L197" i="1"/>
  <c r="AL197" i="1" s="1"/>
  <c r="J197" i="1"/>
  <c r="BW194" i="1"/>
  <c r="BJ194" i="1"/>
  <c r="BD194" i="1"/>
  <c r="AP194" i="1"/>
  <c r="AO194" i="1"/>
  <c r="AK194" i="1"/>
  <c r="AJ194" i="1"/>
  <c r="AH194" i="1"/>
  <c r="AG194" i="1"/>
  <c r="AF194" i="1"/>
  <c r="AE194" i="1"/>
  <c r="AD194" i="1"/>
  <c r="Z194" i="1"/>
  <c r="O194" i="1"/>
  <c r="BF194" i="1" s="1"/>
  <c r="L194" i="1"/>
  <c r="BW192" i="1"/>
  <c r="BJ192" i="1"/>
  <c r="BI192" i="1"/>
  <c r="AC192" i="1" s="1"/>
  <c r="BH192" i="1"/>
  <c r="AB192" i="1" s="1"/>
  <c r="BD192" i="1"/>
  <c r="AX192" i="1"/>
  <c r="AW192" i="1"/>
  <c r="BC192" i="1" s="1"/>
  <c r="AP192" i="1"/>
  <c r="AO192" i="1"/>
  <c r="AK192" i="1"/>
  <c r="AJ192" i="1"/>
  <c r="AH192" i="1"/>
  <c r="AG192" i="1"/>
  <c r="AF192" i="1"/>
  <c r="AE192" i="1"/>
  <c r="AD192" i="1"/>
  <c r="Z192" i="1"/>
  <c r="O192" i="1"/>
  <c r="BF192" i="1" s="1"/>
  <c r="L192" i="1"/>
  <c r="K192" i="1"/>
  <c r="J192" i="1"/>
  <c r="BW190" i="1"/>
  <c r="BJ190" i="1"/>
  <c r="BF190" i="1"/>
  <c r="BD190" i="1"/>
  <c r="AP190" i="1"/>
  <c r="BI190" i="1" s="1"/>
  <c r="AO190" i="1"/>
  <c r="J190" i="1" s="1"/>
  <c r="AK190" i="1"/>
  <c r="AJ190" i="1"/>
  <c r="AH190" i="1"/>
  <c r="AG190" i="1"/>
  <c r="AF190" i="1"/>
  <c r="AE190" i="1"/>
  <c r="AD190" i="1"/>
  <c r="AC190" i="1"/>
  <c r="Z190" i="1"/>
  <c r="O190" i="1"/>
  <c r="L190" i="1"/>
  <c r="BW189" i="1"/>
  <c r="BJ189" i="1"/>
  <c r="BD189" i="1"/>
  <c r="AP189" i="1"/>
  <c r="AO189" i="1"/>
  <c r="AK189" i="1"/>
  <c r="AT188" i="1" s="1"/>
  <c r="AJ189" i="1"/>
  <c r="AH189" i="1"/>
  <c r="AG189" i="1"/>
  <c r="AF189" i="1"/>
  <c r="AE189" i="1"/>
  <c r="AD189" i="1"/>
  <c r="Z189" i="1"/>
  <c r="O189" i="1"/>
  <c r="BF189" i="1" s="1"/>
  <c r="L189" i="1"/>
  <c r="M189" i="1" s="1"/>
  <c r="AS188" i="1"/>
  <c r="O188" i="1"/>
  <c r="BW185" i="1"/>
  <c r="BJ185" i="1"/>
  <c r="BD185" i="1"/>
  <c r="AP185" i="1"/>
  <c r="AO185" i="1"/>
  <c r="AW185" i="1" s="1"/>
  <c r="AK185" i="1"/>
  <c r="AJ185" i="1"/>
  <c r="AH185" i="1"/>
  <c r="AG185" i="1"/>
  <c r="AF185" i="1"/>
  <c r="AE185" i="1"/>
  <c r="AD185" i="1"/>
  <c r="Z185" i="1"/>
  <c r="O185" i="1"/>
  <c r="BF185" i="1" s="1"/>
  <c r="L185" i="1"/>
  <c r="L183" i="1" s="1"/>
  <c r="BW184" i="1"/>
  <c r="BJ184" i="1"/>
  <c r="BI184" i="1"/>
  <c r="BD184" i="1"/>
  <c r="AP184" i="1"/>
  <c r="K184" i="1" s="1"/>
  <c r="AO184" i="1"/>
  <c r="BH184" i="1" s="1"/>
  <c r="AB184" i="1" s="1"/>
  <c r="AK184" i="1"/>
  <c r="AT183" i="1" s="1"/>
  <c r="AJ184" i="1"/>
  <c r="AS183" i="1" s="1"/>
  <c r="AH184" i="1"/>
  <c r="AG184" i="1"/>
  <c r="AF184" i="1"/>
  <c r="AE184" i="1"/>
  <c r="AD184" i="1"/>
  <c r="AC184" i="1"/>
  <c r="Z184" i="1"/>
  <c r="O184" i="1"/>
  <c r="BF184" i="1" s="1"/>
  <c r="L184" i="1"/>
  <c r="O183" i="1"/>
  <c r="BW182" i="1"/>
  <c r="BJ182" i="1"/>
  <c r="BI182" i="1"/>
  <c r="AC182" i="1" s="1"/>
  <c r="BD182" i="1"/>
  <c r="AP182" i="1"/>
  <c r="AX182" i="1" s="1"/>
  <c r="AO182" i="1"/>
  <c r="AW182" i="1" s="1"/>
  <c r="AK182" i="1"/>
  <c r="AJ182" i="1"/>
  <c r="AH182" i="1"/>
  <c r="AG182" i="1"/>
  <c r="AF182" i="1"/>
  <c r="AE182" i="1"/>
  <c r="AD182" i="1"/>
  <c r="Z182" i="1"/>
  <c r="O182" i="1"/>
  <c r="BF182" i="1" s="1"/>
  <c r="L182" i="1"/>
  <c r="AL182" i="1" s="1"/>
  <c r="K182" i="1"/>
  <c r="J182" i="1"/>
  <c r="BW180" i="1"/>
  <c r="BJ180" i="1"/>
  <c r="BF180" i="1"/>
  <c r="BD180" i="1"/>
  <c r="AP180" i="1"/>
  <c r="AO180" i="1"/>
  <c r="J180" i="1" s="1"/>
  <c r="AK180" i="1"/>
  <c r="AJ180" i="1"/>
  <c r="AS177" i="1" s="1"/>
  <c r="AH180" i="1"/>
  <c r="AG180" i="1"/>
  <c r="AF180" i="1"/>
  <c r="AE180" i="1"/>
  <c r="AD180" i="1"/>
  <c r="Z180" i="1"/>
  <c r="O180" i="1"/>
  <c r="L180" i="1"/>
  <c r="BW178" i="1"/>
  <c r="BJ178" i="1"/>
  <c r="BF178" i="1"/>
  <c r="BD178" i="1"/>
  <c r="AP178" i="1"/>
  <c r="BI178" i="1" s="1"/>
  <c r="AC178" i="1" s="1"/>
  <c r="AO178" i="1"/>
  <c r="AK178" i="1"/>
  <c r="AJ178" i="1"/>
  <c r="AH178" i="1"/>
  <c r="AG178" i="1"/>
  <c r="AF178" i="1"/>
  <c r="AE178" i="1"/>
  <c r="AD178" i="1"/>
  <c r="Z178" i="1"/>
  <c r="O178" i="1"/>
  <c r="L178" i="1"/>
  <c r="AL178" i="1" s="1"/>
  <c r="O177" i="1"/>
  <c r="BW175" i="1"/>
  <c r="BJ175" i="1"/>
  <c r="BI175" i="1"/>
  <c r="AC175" i="1" s="1"/>
  <c r="BF175" i="1"/>
  <c r="BD175" i="1"/>
  <c r="AP175" i="1"/>
  <c r="AX175" i="1" s="1"/>
  <c r="AO175" i="1"/>
  <c r="AK175" i="1"/>
  <c r="AJ175" i="1"/>
  <c r="AH175" i="1"/>
  <c r="AG175" i="1"/>
  <c r="AF175" i="1"/>
  <c r="AE175" i="1"/>
  <c r="AD175" i="1"/>
  <c r="Z175" i="1"/>
  <c r="O175" i="1"/>
  <c r="L175" i="1"/>
  <c r="AL175" i="1" s="1"/>
  <c r="K175" i="1"/>
  <c r="J175" i="1"/>
  <c r="BW174" i="1"/>
  <c r="BJ174" i="1"/>
  <c r="BD174" i="1"/>
  <c r="AP174" i="1"/>
  <c r="BI174" i="1" s="1"/>
  <c r="AO174" i="1"/>
  <c r="BH174" i="1" s="1"/>
  <c r="AB174" i="1" s="1"/>
  <c r="AK174" i="1"/>
  <c r="AJ174" i="1"/>
  <c r="AH174" i="1"/>
  <c r="AG174" i="1"/>
  <c r="AF174" i="1"/>
  <c r="AE174" i="1"/>
  <c r="AD174" i="1"/>
  <c r="AC174" i="1"/>
  <c r="Z174" i="1"/>
  <c r="O174" i="1"/>
  <c r="BF174" i="1" s="1"/>
  <c r="L174" i="1"/>
  <c r="M174" i="1" s="1"/>
  <c r="BW173" i="1"/>
  <c r="BJ173" i="1"/>
  <c r="BF173" i="1"/>
  <c r="BD173" i="1"/>
  <c r="AP173" i="1"/>
  <c r="BI173" i="1" s="1"/>
  <c r="AC173" i="1" s="1"/>
  <c r="AO173" i="1"/>
  <c r="AW173" i="1" s="1"/>
  <c r="AK173" i="1"/>
  <c r="AJ173" i="1"/>
  <c r="AH173" i="1"/>
  <c r="AG173" i="1"/>
  <c r="AF173" i="1"/>
  <c r="AE173" i="1"/>
  <c r="AD173" i="1"/>
  <c r="Z173" i="1"/>
  <c r="O173" i="1"/>
  <c r="O172" i="1" s="1"/>
  <c r="L173" i="1"/>
  <c r="BW168" i="1"/>
  <c r="BJ168" i="1"/>
  <c r="AH168" i="1" s="1"/>
  <c r="BI168" i="1"/>
  <c r="BF168" i="1"/>
  <c r="BD168" i="1"/>
  <c r="AP168" i="1"/>
  <c r="AX168" i="1" s="1"/>
  <c r="AO168" i="1"/>
  <c r="AK168" i="1"/>
  <c r="AJ168" i="1"/>
  <c r="AG168" i="1"/>
  <c r="AF168" i="1"/>
  <c r="AE168" i="1"/>
  <c r="AD168" i="1"/>
  <c r="AC168" i="1"/>
  <c r="AB168" i="1"/>
  <c r="Z168" i="1"/>
  <c r="O168" i="1"/>
  <c r="L168" i="1"/>
  <c r="AL168" i="1" s="1"/>
  <c r="BW166" i="1"/>
  <c r="BJ166" i="1"/>
  <c r="AH166" i="1" s="1"/>
  <c r="BF166" i="1"/>
  <c r="BD166" i="1"/>
  <c r="AP166" i="1"/>
  <c r="AX166" i="1" s="1"/>
  <c r="AO166" i="1"/>
  <c r="AW166" i="1" s="1"/>
  <c r="AV166" i="1" s="1"/>
  <c r="AK166" i="1"/>
  <c r="AJ166" i="1"/>
  <c r="AG166" i="1"/>
  <c r="AF166" i="1"/>
  <c r="AE166" i="1"/>
  <c r="AD166" i="1"/>
  <c r="AC166" i="1"/>
  <c r="AB166" i="1"/>
  <c r="Z166" i="1"/>
  <c r="O166" i="1"/>
  <c r="L166" i="1"/>
  <c r="AL166" i="1" s="1"/>
  <c r="BW163" i="1"/>
  <c r="BJ163" i="1"/>
  <c r="AH163" i="1" s="1"/>
  <c r="BF163" i="1"/>
  <c r="BD163" i="1"/>
  <c r="AP163" i="1"/>
  <c r="AO163" i="1"/>
  <c r="AL163" i="1"/>
  <c r="AK163" i="1"/>
  <c r="AJ163" i="1"/>
  <c r="AG163" i="1"/>
  <c r="AF163" i="1"/>
  <c r="AE163" i="1"/>
  <c r="AD163" i="1"/>
  <c r="AC163" i="1"/>
  <c r="AB163" i="1"/>
  <c r="Z163" i="1"/>
  <c r="O163" i="1"/>
  <c r="L163" i="1"/>
  <c r="M163" i="1" s="1"/>
  <c r="BW159" i="1"/>
  <c r="BJ159" i="1"/>
  <c r="AH159" i="1" s="1"/>
  <c r="BD159" i="1"/>
  <c r="AP159" i="1"/>
  <c r="AX159" i="1" s="1"/>
  <c r="AO159" i="1"/>
  <c r="J159" i="1" s="1"/>
  <c r="AL159" i="1"/>
  <c r="AK159" i="1"/>
  <c r="AJ159" i="1"/>
  <c r="AG159" i="1"/>
  <c r="AF159" i="1"/>
  <c r="AE159" i="1"/>
  <c r="AD159" i="1"/>
  <c r="AC159" i="1"/>
  <c r="AB159" i="1"/>
  <c r="Z159" i="1"/>
  <c r="O159" i="1"/>
  <c r="BF159" i="1" s="1"/>
  <c r="L159" i="1"/>
  <c r="M159" i="1" s="1"/>
  <c r="BW157" i="1"/>
  <c r="BJ157" i="1"/>
  <c r="AH157" i="1" s="1"/>
  <c r="BI157" i="1"/>
  <c r="BF157" i="1"/>
  <c r="BD157" i="1"/>
  <c r="AW157" i="1"/>
  <c r="AP157" i="1"/>
  <c r="AO157" i="1"/>
  <c r="BH157" i="1" s="1"/>
  <c r="AK157" i="1"/>
  <c r="AJ157" i="1"/>
  <c r="AG157" i="1"/>
  <c r="AF157" i="1"/>
  <c r="AE157" i="1"/>
  <c r="AD157" i="1"/>
  <c r="AC157" i="1"/>
  <c r="AB157" i="1"/>
  <c r="Z157" i="1"/>
  <c r="O157" i="1"/>
  <c r="L157" i="1"/>
  <c r="AL157" i="1" s="1"/>
  <c r="J157" i="1"/>
  <c r="BW155" i="1"/>
  <c r="BJ155" i="1"/>
  <c r="Z155" i="1" s="1"/>
  <c r="BI155" i="1"/>
  <c r="BD155" i="1"/>
  <c r="AP155" i="1"/>
  <c r="AX155" i="1" s="1"/>
  <c r="AO155" i="1"/>
  <c r="AK155" i="1"/>
  <c r="AJ155" i="1"/>
  <c r="AH155" i="1"/>
  <c r="AG155" i="1"/>
  <c r="AF155" i="1"/>
  <c r="AE155" i="1"/>
  <c r="AD155" i="1"/>
  <c r="AC155" i="1"/>
  <c r="AB155" i="1"/>
  <c r="O155" i="1"/>
  <c r="O144" i="1" s="1"/>
  <c r="L155" i="1"/>
  <c r="AL155" i="1" s="1"/>
  <c r="K155" i="1"/>
  <c r="BW153" i="1"/>
  <c r="M153" i="1" s="1"/>
  <c r="BJ153" i="1"/>
  <c r="Z153" i="1" s="1"/>
  <c r="BF153" i="1"/>
  <c r="BD153" i="1"/>
  <c r="AP153" i="1"/>
  <c r="K153" i="1" s="1"/>
  <c r="AO153" i="1"/>
  <c r="BH153" i="1" s="1"/>
  <c r="AL153" i="1"/>
  <c r="AK153" i="1"/>
  <c r="AJ153" i="1"/>
  <c r="AH153" i="1"/>
  <c r="AG153" i="1"/>
  <c r="AF153" i="1"/>
  <c r="AE153" i="1"/>
  <c r="AD153" i="1"/>
  <c r="AC153" i="1"/>
  <c r="AB153" i="1"/>
  <c r="O153" i="1"/>
  <c r="L153" i="1"/>
  <c r="BW152" i="1"/>
  <c r="BJ152" i="1"/>
  <c r="BD152" i="1"/>
  <c r="AP152" i="1"/>
  <c r="K152" i="1" s="1"/>
  <c r="AO152" i="1"/>
  <c r="BH152" i="1" s="1"/>
  <c r="AK152" i="1"/>
  <c r="AJ152" i="1"/>
  <c r="AH152" i="1"/>
  <c r="AG152" i="1"/>
  <c r="AF152" i="1"/>
  <c r="AE152" i="1"/>
  <c r="AD152" i="1"/>
  <c r="AC152" i="1"/>
  <c r="AB152" i="1"/>
  <c r="Z152" i="1"/>
  <c r="O152" i="1"/>
  <c r="BF152" i="1" s="1"/>
  <c r="L152" i="1"/>
  <c r="AL152" i="1" s="1"/>
  <c r="BW150" i="1"/>
  <c r="BJ150" i="1"/>
  <c r="Z150" i="1" s="1"/>
  <c r="BF150" i="1"/>
  <c r="BD150" i="1"/>
  <c r="AP150" i="1"/>
  <c r="AO150" i="1"/>
  <c r="AW150" i="1" s="1"/>
  <c r="AK150" i="1"/>
  <c r="AJ150" i="1"/>
  <c r="AH150" i="1"/>
  <c r="AG150" i="1"/>
  <c r="AF150" i="1"/>
  <c r="AE150" i="1"/>
  <c r="AD150" i="1"/>
  <c r="AC150" i="1"/>
  <c r="AB150" i="1"/>
  <c r="O150" i="1"/>
  <c r="L150" i="1"/>
  <c r="BW147" i="1"/>
  <c r="BJ147" i="1"/>
  <c r="Z147" i="1" s="1"/>
  <c r="BD147" i="1"/>
  <c r="AP147" i="1"/>
  <c r="BI147" i="1" s="1"/>
  <c r="AO147" i="1"/>
  <c r="J147" i="1" s="1"/>
  <c r="AK147" i="1"/>
  <c r="AJ147" i="1"/>
  <c r="AH147" i="1"/>
  <c r="AG147" i="1"/>
  <c r="AF147" i="1"/>
  <c r="AE147" i="1"/>
  <c r="AD147" i="1"/>
  <c r="AC147" i="1"/>
  <c r="AB147" i="1"/>
  <c r="O147" i="1"/>
  <c r="BF147" i="1" s="1"/>
  <c r="L147" i="1"/>
  <c r="AL147" i="1" s="1"/>
  <c r="BW145" i="1"/>
  <c r="BJ145" i="1"/>
  <c r="Z145" i="1" s="1"/>
  <c r="BF145" i="1"/>
  <c r="BD145" i="1"/>
  <c r="AP145" i="1"/>
  <c r="K145" i="1" s="1"/>
  <c r="AO145" i="1"/>
  <c r="AL145" i="1"/>
  <c r="AK145" i="1"/>
  <c r="AJ145" i="1"/>
  <c r="AH145" i="1"/>
  <c r="AG145" i="1"/>
  <c r="AF145" i="1"/>
  <c r="AE145" i="1"/>
  <c r="AD145" i="1"/>
  <c r="AC145" i="1"/>
  <c r="AB145" i="1"/>
  <c r="O145" i="1"/>
  <c r="L145" i="1"/>
  <c r="M145" i="1" s="1"/>
  <c r="BW142" i="1"/>
  <c r="BJ142" i="1"/>
  <c r="Z142" i="1" s="1"/>
  <c r="BD142" i="1"/>
  <c r="AP142" i="1"/>
  <c r="AX142" i="1" s="1"/>
  <c r="AO142" i="1"/>
  <c r="BH142" i="1" s="1"/>
  <c r="AL142" i="1"/>
  <c r="AU141" i="1" s="1"/>
  <c r="AK142" i="1"/>
  <c r="AT141" i="1" s="1"/>
  <c r="AJ142" i="1"/>
  <c r="AS141" i="1" s="1"/>
  <c r="AH142" i="1"/>
  <c r="AG142" i="1"/>
  <c r="AF142" i="1"/>
  <c r="AE142" i="1"/>
  <c r="AD142" i="1"/>
  <c r="AC142" i="1"/>
  <c r="AB142" i="1"/>
  <c r="O142" i="1"/>
  <c r="BF142" i="1" s="1"/>
  <c r="L142" i="1"/>
  <c r="O141" i="1"/>
  <c r="L141" i="1"/>
  <c r="BW140" i="1"/>
  <c r="BJ140" i="1"/>
  <c r="BF140" i="1"/>
  <c r="BD140" i="1"/>
  <c r="AP140" i="1"/>
  <c r="AX140" i="1" s="1"/>
  <c r="AO140" i="1"/>
  <c r="AW140" i="1" s="1"/>
  <c r="AL140" i="1"/>
  <c r="AU139" i="1" s="1"/>
  <c r="AK140" i="1"/>
  <c r="AT139" i="1" s="1"/>
  <c r="AJ140" i="1"/>
  <c r="AS139" i="1" s="1"/>
  <c r="AH140" i="1"/>
  <c r="AG140" i="1"/>
  <c r="AF140" i="1"/>
  <c r="AE140" i="1"/>
  <c r="AD140" i="1"/>
  <c r="Z140" i="1"/>
  <c r="O140" i="1"/>
  <c r="O139" i="1" s="1"/>
  <c r="L140" i="1"/>
  <c r="M140" i="1" s="1"/>
  <c r="M139" i="1" s="1"/>
  <c r="L139" i="1"/>
  <c r="BW138" i="1"/>
  <c r="BJ138" i="1"/>
  <c r="BF138" i="1"/>
  <c r="BD138" i="1"/>
  <c r="AP138" i="1"/>
  <c r="BI138" i="1" s="1"/>
  <c r="AC138" i="1" s="1"/>
  <c r="AO138" i="1"/>
  <c r="AW138" i="1" s="1"/>
  <c r="AL138" i="1"/>
  <c r="AU137" i="1" s="1"/>
  <c r="AK138" i="1"/>
  <c r="AT137" i="1" s="1"/>
  <c r="AJ138" i="1"/>
  <c r="AS137" i="1" s="1"/>
  <c r="AH138" i="1"/>
  <c r="AG138" i="1"/>
  <c r="AF138" i="1"/>
  <c r="AE138" i="1"/>
  <c r="AD138" i="1"/>
  <c r="Z138" i="1"/>
  <c r="O138" i="1"/>
  <c r="O137" i="1" s="1"/>
  <c r="M138" i="1"/>
  <c r="M137" i="1" s="1"/>
  <c r="L138" i="1"/>
  <c r="L137" i="1"/>
  <c r="BW136" i="1"/>
  <c r="BJ136" i="1"/>
  <c r="BF136" i="1"/>
  <c r="BD136" i="1"/>
  <c r="AP136" i="1"/>
  <c r="AX136" i="1" s="1"/>
  <c r="AO136" i="1"/>
  <c r="AL136" i="1"/>
  <c r="AK136" i="1"/>
  <c r="AJ136" i="1"/>
  <c r="AH136" i="1"/>
  <c r="AG136" i="1"/>
  <c r="AF136" i="1"/>
  <c r="AE136" i="1"/>
  <c r="AD136" i="1"/>
  <c r="Z136" i="1"/>
  <c r="O136" i="1"/>
  <c r="L136" i="1"/>
  <c r="M136" i="1" s="1"/>
  <c r="BW135" i="1"/>
  <c r="BJ135" i="1"/>
  <c r="BH135" i="1"/>
  <c r="AB135" i="1" s="1"/>
  <c r="BF135" i="1"/>
  <c r="BD135" i="1"/>
  <c r="AP135" i="1"/>
  <c r="K135" i="1" s="1"/>
  <c r="AO135" i="1"/>
  <c r="J135" i="1" s="1"/>
  <c r="AK135" i="1"/>
  <c r="AJ135" i="1"/>
  <c r="AH135" i="1"/>
  <c r="AG135" i="1"/>
  <c r="AF135" i="1"/>
  <c r="AE135" i="1"/>
  <c r="AD135" i="1"/>
  <c r="Z135" i="1"/>
  <c r="O135" i="1"/>
  <c r="L135" i="1"/>
  <c r="AL135" i="1" s="1"/>
  <c r="BW134" i="1"/>
  <c r="BJ134" i="1"/>
  <c r="BF134" i="1"/>
  <c r="BD134" i="1"/>
  <c r="AP134" i="1"/>
  <c r="AO134" i="1"/>
  <c r="BH134" i="1" s="1"/>
  <c r="AB134" i="1" s="1"/>
  <c r="AK134" i="1"/>
  <c r="AJ134" i="1"/>
  <c r="AH134" i="1"/>
  <c r="AG134" i="1"/>
  <c r="AF134" i="1"/>
  <c r="AE134" i="1"/>
  <c r="AD134" i="1"/>
  <c r="Z134" i="1"/>
  <c r="O134" i="1"/>
  <c r="L134" i="1"/>
  <c r="AL134" i="1" s="1"/>
  <c r="BW132" i="1"/>
  <c r="BJ132" i="1"/>
  <c r="BH132" i="1"/>
  <c r="AB132" i="1" s="1"/>
  <c r="BF132" i="1"/>
  <c r="BD132" i="1"/>
  <c r="AP132" i="1"/>
  <c r="K132" i="1" s="1"/>
  <c r="AO132" i="1"/>
  <c r="AK132" i="1"/>
  <c r="AJ132" i="1"/>
  <c r="AH132" i="1"/>
  <c r="AG132" i="1"/>
  <c r="AF132" i="1"/>
  <c r="AE132" i="1"/>
  <c r="AD132" i="1"/>
  <c r="Z132" i="1"/>
  <c r="O132" i="1"/>
  <c r="L132" i="1"/>
  <c r="AL132" i="1" s="1"/>
  <c r="BW130" i="1"/>
  <c r="M130" i="1" s="1"/>
  <c r="BJ130" i="1"/>
  <c r="BD130" i="1"/>
  <c r="AP130" i="1"/>
  <c r="AO130" i="1"/>
  <c r="AL130" i="1"/>
  <c r="AK130" i="1"/>
  <c r="AJ130" i="1"/>
  <c r="AH130" i="1"/>
  <c r="AG130" i="1"/>
  <c r="AF130" i="1"/>
  <c r="AE130" i="1"/>
  <c r="AD130" i="1"/>
  <c r="Z130" i="1"/>
  <c r="O130" i="1"/>
  <c r="BF130" i="1" s="1"/>
  <c r="L130" i="1"/>
  <c r="BW127" i="1"/>
  <c r="BJ127" i="1"/>
  <c r="BI127" i="1"/>
  <c r="AC127" i="1" s="1"/>
  <c r="BH127" i="1"/>
  <c r="AB127" i="1" s="1"/>
  <c r="BF127" i="1"/>
  <c r="BD127" i="1"/>
  <c r="AX127" i="1"/>
  <c r="AW127" i="1"/>
  <c r="AP127" i="1"/>
  <c r="AO127" i="1"/>
  <c r="AK127" i="1"/>
  <c r="AJ127" i="1"/>
  <c r="AH127" i="1"/>
  <c r="AG127" i="1"/>
  <c r="AF127" i="1"/>
  <c r="AE127" i="1"/>
  <c r="AD127" i="1"/>
  <c r="Z127" i="1"/>
  <c r="O127" i="1"/>
  <c r="O122" i="1" s="1"/>
  <c r="L127" i="1"/>
  <c r="AL127" i="1" s="1"/>
  <c r="K127" i="1"/>
  <c r="J127" i="1"/>
  <c r="BW125" i="1"/>
  <c r="BJ125" i="1"/>
  <c r="BF125" i="1"/>
  <c r="BD125" i="1"/>
  <c r="AP125" i="1"/>
  <c r="AO125" i="1"/>
  <c r="AW125" i="1" s="1"/>
  <c r="AK125" i="1"/>
  <c r="AJ125" i="1"/>
  <c r="AH125" i="1"/>
  <c r="AG125" i="1"/>
  <c r="AF125" i="1"/>
  <c r="AE125" i="1"/>
  <c r="AD125" i="1"/>
  <c r="Z125" i="1"/>
  <c r="O125" i="1"/>
  <c r="L125" i="1"/>
  <c r="M125" i="1" s="1"/>
  <c r="BW123" i="1"/>
  <c r="BJ123" i="1"/>
  <c r="BF123" i="1"/>
  <c r="BD123" i="1"/>
  <c r="AP123" i="1"/>
  <c r="AO123" i="1"/>
  <c r="AK123" i="1"/>
  <c r="AJ123" i="1"/>
  <c r="AH123" i="1"/>
  <c r="AG123" i="1"/>
  <c r="AF123" i="1"/>
  <c r="AE123" i="1"/>
  <c r="AD123" i="1"/>
  <c r="Z123" i="1"/>
  <c r="O123" i="1"/>
  <c r="L123" i="1"/>
  <c r="AL123" i="1" s="1"/>
  <c r="BW121" i="1"/>
  <c r="BJ121" i="1"/>
  <c r="BH121" i="1"/>
  <c r="AB121" i="1" s="1"/>
  <c r="BF121" i="1"/>
  <c r="BD121" i="1"/>
  <c r="AW121" i="1"/>
  <c r="AP121" i="1"/>
  <c r="BI121" i="1" s="1"/>
  <c r="AO121" i="1"/>
  <c r="J121" i="1" s="1"/>
  <c r="AK121" i="1"/>
  <c r="AJ121" i="1"/>
  <c r="AH121" i="1"/>
  <c r="AG121" i="1"/>
  <c r="AF121" i="1"/>
  <c r="AE121" i="1"/>
  <c r="AD121" i="1"/>
  <c r="AC121" i="1"/>
  <c r="Z121" i="1"/>
  <c r="O121" i="1"/>
  <c r="L121" i="1"/>
  <c r="AL121" i="1" s="1"/>
  <c r="BW120" i="1"/>
  <c r="BJ120" i="1"/>
  <c r="BF120" i="1"/>
  <c r="BD120" i="1"/>
  <c r="AP120" i="1"/>
  <c r="AO120" i="1"/>
  <c r="BH120" i="1" s="1"/>
  <c r="AB120" i="1" s="1"/>
  <c r="AL120" i="1"/>
  <c r="AK120" i="1"/>
  <c r="AJ120" i="1"/>
  <c r="AH120" i="1"/>
  <c r="AG120" i="1"/>
  <c r="AF120" i="1"/>
  <c r="AE120" i="1"/>
  <c r="AD120" i="1"/>
  <c r="Z120" i="1"/>
  <c r="O120" i="1"/>
  <c r="L120" i="1"/>
  <c r="M120" i="1" s="1"/>
  <c r="BW118" i="1"/>
  <c r="BJ118" i="1"/>
  <c r="BI118" i="1"/>
  <c r="AC118" i="1" s="1"/>
  <c r="BH118" i="1"/>
  <c r="AB118" i="1" s="1"/>
  <c r="BF118" i="1"/>
  <c r="BD118" i="1"/>
  <c r="AP118" i="1"/>
  <c r="AX118" i="1" s="1"/>
  <c r="AO118" i="1"/>
  <c r="AW118" i="1" s="1"/>
  <c r="AV118" i="1" s="1"/>
  <c r="AK118" i="1"/>
  <c r="AJ118" i="1"/>
  <c r="AH118" i="1"/>
  <c r="AG118" i="1"/>
  <c r="AF118" i="1"/>
  <c r="AE118" i="1"/>
  <c r="AD118" i="1"/>
  <c r="Z118" i="1"/>
  <c r="O118" i="1"/>
  <c r="O115" i="1" s="1"/>
  <c r="L118" i="1"/>
  <c r="AL118" i="1" s="1"/>
  <c r="BW116" i="1"/>
  <c r="BJ116" i="1"/>
  <c r="BF116" i="1"/>
  <c r="BD116" i="1"/>
  <c r="AP116" i="1"/>
  <c r="BI116" i="1" s="1"/>
  <c r="AC116" i="1" s="1"/>
  <c r="AO116" i="1"/>
  <c r="BH116" i="1" s="1"/>
  <c r="AB116" i="1" s="1"/>
  <c r="AK116" i="1"/>
  <c r="AJ116" i="1"/>
  <c r="AH116" i="1"/>
  <c r="AG116" i="1"/>
  <c r="AF116" i="1"/>
  <c r="AE116" i="1"/>
  <c r="AD116" i="1"/>
  <c r="Z116" i="1"/>
  <c r="O116" i="1"/>
  <c r="L116" i="1"/>
  <c r="K116" i="1"/>
  <c r="BW112" i="1"/>
  <c r="M112" i="1" s="1"/>
  <c r="BJ112" i="1"/>
  <c r="BD112" i="1"/>
  <c r="AP112" i="1"/>
  <c r="AO112" i="1"/>
  <c r="AL112" i="1"/>
  <c r="AK112" i="1"/>
  <c r="AJ112" i="1"/>
  <c r="AH112" i="1"/>
  <c r="AG112" i="1"/>
  <c r="AF112" i="1"/>
  <c r="AE112" i="1"/>
  <c r="AD112" i="1"/>
  <c r="Z112" i="1"/>
  <c r="O112" i="1"/>
  <c r="BF112" i="1" s="1"/>
  <c r="L112" i="1"/>
  <c r="BW108" i="1"/>
  <c r="BJ108" i="1"/>
  <c r="BI108" i="1"/>
  <c r="AC108" i="1" s="1"/>
  <c r="BH108" i="1"/>
  <c r="AB108" i="1" s="1"/>
  <c r="BF108" i="1"/>
  <c r="BD108" i="1"/>
  <c r="AP108" i="1"/>
  <c r="K108" i="1" s="1"/>
  <c r="AO108" i="1"/>
  <c r="AW108" i="1" s="1"/>
  <c r="AK108" i="1"/>
  <c r="AJ108" i="1"/>
  <c r="AH108" i="1"/>
  <c r="AG108" i="1"/>
  <c r="AF108" i="1"/>
  <c r="AE108" i="1"/>
  <c r="AD108" i="1"/>
  <c r="Z108" i="1"/>
  <c r="O108" i="1"/>
  <c r="L108" i="1"/>
  <c r="BW106" i="1"/>
  <c r="BJ106" i="1"/>
  <c r="BF106" i="1"/>
  <c r="BD106" i="1"/>
  <c r="AP106" i="1"/>
  <c r="AO106" i="1"/>
  <c r="AK106" i="1"/>
  <c r="AJ106" i="1"/>
  <c r="AH106" i="1"/>
  <c r="AG106" i="1"/>
  <c r="AF106" i="1"/>
  <c r="AE106" i="1"/>
  <c r="AD106" i="1"/>
  <c r="Z106" i="1"/>
  <c r="O106" i="1"/>
  <c r="L106" i="1"/>
  <c r="M106" i="1" s="1"/>
  <c r="BW104" i="1"/>
  <c r="BJ104" i="1"/>
  <c r="BF104" i="1"/>
  <c r="BD104" i="1"/>
  <c r="AP104" i="1"/>
  <c r="BI104" i="1" s="1"/>
  <c r="AC104" i="1" s="1"/>
  <c r="AO104" i="1"/>
  <c r="BH104" i="1" s="1"/>
  <c r="AB104" i="1" s="1"/>
  <c r="AK104" i="1"/>
  <c r="AJ104" i="1"/>
  <c r="AH104" i="1"/>
  <c r="AG104" i="1"/>
  <c r="AF104" i="1"/>
  <c r="AE104" i="1"/>
  <c r="AD104" i="1"/>
  <c r="Z104" i="1"/>
  <c r="O104" i="1"/>
  <c r="L104" i="1"/>
  <c r="BW103" i="1"/>
  <c r="BJ103" i="1"/>
  <c r="BD103" i="1"/>
  <c r="AP103" i="1"/>
  <c r="BI103" i="1" s="1"/>
  <c r="AC103" i="1" s="1"/>
  <c r="AO103" i="1"/>
  <c r="BH103" i="1" s="1"/>
  <c r="AB103" i="1" s="1"/>
  <c r="AK103" i="1"/>
  <c r="AJ103" i="1"/>
  <c r="AH103" i="1"/>
  <c r="AG103" i="1"/>
  <c r="AF103" i="1"/>
  <c r="AE103" i="1"/>
  <c r="AD103" i="1"/>
  <c r="Z103" i="1"/>
  <c r="O103" i="1"/>
  <c r="BF103" i="1" s="1"/>
  <c r="L103" i="1"/>
  <c r="M103" i="1" s="1"/>
  <c r="BW101" i="1"/>
  <c r="BJ101" i="1"/>
  <c r="BF101" i="1"/>
  <c r="BD101" i="1"/>
  <c r="AP101" i="1"/>
  <c r="AO101" i="1"/>
  <c r="BH101" i="1" s="1"/>
  <c r="AB101" i="1" s="1"/>
  <c r="AK101" i="1"/>
  <c r="AJ101" i="1"/>
  <c r="AH101" i="1"/>
  <c r="AG101" i="1"/>
  <c r="AF101" i="1"/>
  <c r="AE101" i="1"/>
  <c r="AD101" i="1"/>
  <c r="Z101" i="1"/>
  <c r="O101" i="1"/>
  <c r="L101" i="1"/>
  <c r="J101" i="1"/>
  <c r="BW98" i="1"/>
  <c r="BJ98" i="1"/>
  <c r="BD98" i="1"/>
  <c r="AP98" i="1"/>
  <c r="BI98" i="1" s="1"/>
  <c r="AC98" i="1" s="1"/>
  <c r="AO98" i="1"/>
  <c r="BH98" i="1" s="1"/>
  <c r="AB98" i="1" s="1"/>
  <c r="AK98" i="1"/>
  <c r="AJ98" i="1"/>
  <c r="AH98" i="1"/>
  <c r="AG98" i="1"/>
  <c r="AF98" i="1"/>
  <c r="AE98" i="1"/>
  <c r="AD98" i="1"/>
  <c r="Z98" i="1"/>
  <c r="O98" i="1"/>
  <c r="O97" i="1" s="1"/>
  <c r="L98" i="1"/>
  <c r="K98" i="1"/>
  <c r="BW94" i="1"/>
  <c r="BJ94" i="1"/>
  <c r="BF94" i="1"/>
  <c r="BD94" i="1"/>
  <c r="AP94" i="1"/>
  <c r="AO94" i="1"/>
  <c r="AW94" i="1" s="1"/>
  <c r="AK94" i="1"/>
  <c r="AJ94" i="1"/>
  <c r="AH94" i="1"/>
  <c r="AG94" i="1"/>
  <c r="AF94" i="1"/>
  <c r="AE94" i="1"/>
  <c r="AD94" i="1"/>
  <c r="Z94" i="1"/>
  <c r="O94" i="1"/>
  <c r="L94" i="1"/>
  <c r="M94" i="1" s="1"/>
  <c r="BW90" i="1"/>
  <c r="BJ90" i="1"/>
  <c r="BF90" i="1"/>
  <c r="BD90" i="1"/>
  <c r="AP90" i="1"/>
  <c r="BI90" i="1" s="1"/>
  <c r="AC90" i="1" s="1"/>
  <c r="AO90" i="1"/>
  <c r="AW90" i="1" s="1"/>
  <c r="AK90" i="1"/>
  <c r="AJ90" i="1"/>
  <c r="AH90" i="1"/>
  <c r="AG90" i="1"/>
  <c r="AF90" i="1"/>
  <c r="AE90" i="1"/>
  <c r="AD90" i="1"/>
  <c r="Z90" i="1"/>
  <c r="O90" i="1"/>
  <c r="O84" i="1" s="1"/>
  <c r="L90" i="1"/>
  <c r="M90" i="1" s="1"/>
  <c r="BW87" i="1"/>
  <c r="BJ87" i="1"/>
  <c r="BF87" i="1"/>
  <c r="BD87" i="1"/>
  <c r="AP87" i="1"/>
  <c r="K87" i="1" s="1"/>
  <c r="AO87" i="1"/>
  <c r="AW87" i="1" s="1"/>
  <c r="AL87" i="1"/>
  <c r="AK87" i="1"/>
  <c r="AJ87" i="1"/>
  <c r="AH87" i="1"/>
  <c r="AG87" i="1"/>
  <c r="AF87" i="1"/>
  <c r="AE87" i="1"/>
  <c r="AD87" i="1"/>
  <c r="Z87" i="1"/>
  <c r="O87" i="1"/>
  <c r="L87" i="1"/>
  <c r="M87" i="1" s="1"/>
  <c r="BW85" i="1"/>
  <c r="BJ85" i="1"/>
  <c r="BF85" i="1"/>
  <c r="BD85" i="1"/>
  <c r="AP85" i="1"/>
  <c r="AO85" i="1"/>
  <c r="AL85" i="1"/>
  <c r="AK85" i="1"/>
  <c r="AJ85" i="1"/>
  <c r="AH85" i="1"/>
  <c r="AG85" i="1"/>
  <c r="AF85" i="1"/>
  <c r="AE85" i="1"/>
  <c r="AD85" i="1"/>
  <c r="Z85" i="1"/>
  <c r="O85" i="1"/>
  <c r="M85" i="1"/>
  <c r="L85" i="1"/>
  <c r="BW81" i="1"/>
  <c r="BJ81" i="1"/>
  <c r="BD81" i="1"/>
  <c r="AP81" i="1"/>
  <c r="AX81" i="1" s="1"/>
  <c r="AO81" i="1"/>
  <c r="AL81" i="1"/>
  <c r="AK81" i="1"/>
  <c r="AJ81" i="1"/>
  <c r="AH81" i="1"/>
  <c r="AG81" i="1"/>
  <c r="AF81" i="1"/>
  <c r="AE81" i="1"/>
  <c r="AD81" i="1"/>
  <c r="Z81" i="1"/>
  <c r="O81" i="1"/>
  <c r="BF81" i="1" s="1"/>
  <c r="L81" i="1"/>
  <c r="BW78" i="1"/>
  <c r="BJ78" i="1"/>
  <c r="BD78" i="1"/>
  <c r="AP78" i="1"/>
  <c r="BI78" i="1" s="1"/>
  <c r="AC78" i="1" s="1"/>
  <c r="AO78" i="1"/>
  <c r="BH78" i="1" s="1"/>
  <c r="AB78" i="1" s="1"/>
  <c r="AK78" i="1"/>
  <c r="AJ78" i="1"/>
  <c r="AH78" i="1"/>
  <c r="AG78" i="1"/>
  <c r="AF78" i="1"/>
  <c r="AE78" i="1"/>
  <c r="AD78" i="1"/>
  <c r="Z78" i="1"/>
  <c r="O78" i="1"/>
  <c r="BF78" i="1" s="1"/>
  <c r="L78" i="1"/>
  <c r="M78" i="1" s="1"/>
  <c r="BW75" i="1"/>
  <c r="BJ75" i="1"/>
  <c r="BI75" i="1"/>
  <c r="AC75" i="1" s="1"/>
  <c r="BF75" i="1"/>
  <c r="BD75" i="1"/>
  <c r="AP75" i="1"/>
  <c r="AX75" i="1" s="1"/>
  <c r="AO75" i="1"/>
  <c r="AK75" i="1"/>
  <c r="AJ75" i="1"/>
  <c r="AH75" i="1"/>
  <c r="AG75" i="1"/>
  <c r="AF75" i="1"/>
  <c r="AE75" i="1"/>
  <c r="AD75" i="1"/>
  <c r="Z75" i="1"/>
  <c r="O75" i="1"/>
  <c r="L75" i="1"/>
  <c r="M75" i="1" s="1"/>
  <c r="K75" i="1"/>
  <c r="BW71" i="1"/>
  <c r="BJ71" i="1"/>
  <c r="BF71" i="1"/>
  <c r="BD71" i="1"/>
  <c r="AP71" i="1"/>
  <c r="BI71" i="1" s="1"/>
  <c r="AC71" i="1" s="1"/>
  <c r="AO71" i="1"/>
  <c r="BH71" i="1" s="1"/>
  <c r="AB71" i="1" s="1"/>
  <c r="AK71" i="1"/>
  <c r="AJ71" i="1"/>
  <c r="AH71" i="1"/>
  <c r="AG71" i="1"/>
  <c r="AF71" i="1"/>
  <c r="AE71" i="1"/>
  <c r="AD71" i="1"/>
  <c r="Z71" i="1"/>
  <c r="O71" i="1"/>
  <c r="O70" i="1" s="1"/>
  <c r="L71" i="1"/>
  <c r="BW68" i="1"/>
  <c r="BJ68" i="1"/>
  <c r="BD68" i="1"/>
  <c r="AP68" i="1"/>
  <c r="AO68" i="1"/>
  <c r="AK68" i="1"/>
  <c r="AJ68" i="1"/>
  <c r="AH68" i="1"/>
  <c r="AG68" i="1"/>
  <c r="AF68" i="1"/>
  <c r="AE68" i="1"/>
  <c r="AD68" i="1"/>
  <c r="Z68" i="1"/>
  <c r="O68" i="1"/>
  <c r="BF68" i="1" s="1"/>
  <c r="L68" i="1"/>
  <c r="AL68" i="1" s="1"/>
  <c r="BW65" i="1"/>
  <c r="BJ65" i="1"/>
  <c r="BF65" i="1"/>
  <c r="BD65" i="1"/>
  <c r="AP65" i="1"/>
  <c r="AO65" i="1"/>
  <c r="AK65" i="1"/>
  <c r="AJ65" i="1"/>
  <c r="AH65" i="1"/>
  <c r="AG65" i="1"/>
  <c r="AF65" i="1"/>
  <c r="AE65" i="1"/>
  <c r="AD65" i="1"/>
  <c r="Z65" i="1"/>
  <c r="O65" i="1"/>
  <c r="L65" i="1"/>
  <c r="AL65" i="1" s="1"/>
  <c r="BW63" i="1"/>
  <c r="BJ63" i="1"/>
  <c r="BD63" i="1"/>
  <c r="AP63" i="1"/>
  <c r="BI63" i="1" s="1"/>
  <c r="AC63" i="1" s="1"/>
  <c r="AO63" i="1"/>
  <c r="BH63" i="1" s="1"/>
  <c r="AB63" i="1" s="1"/>
  <c r="AK63" i="1"/>
  <c r="AJ63" i="1"/>
  <c r="AH63" i="1"/>
  <c r="AG63" i="1"/>
  <c r="AF63" i="1"/>
  <c r="AE63" i="1"/>
  <c r="AD63" i="1"/>
  <c r="Z63" i="1"/>
  <c r="O63" i="1"/>
  <c r="BF63" i="1" s="1"/>
  <c r="L63" i="1"/>
  <c r="AL63" i="1" s="1"/>
  <c r="BW61" i="1"/>
  <c r="BJ61" i="1"/>
  <c r="BD61" i="1"/>
  <c r="AP61" i="1"/>
  <c r="BI61" i="1" s="1"/>
  <c r="AC61" i="1" s="1"/>
  <c r="AO61" i="1"/>
  <c r="BH61" i="1" s="1"/>
  <c r="AB61" i="1" s="1"/>
  <c r="AL61" i="1"/>
  <c r="AK61" i="1"/>
  <c r="AJ61" i="1"/>
  <c r="AH61" i="1"/>
  <c r="AG61" i="1"/>
  <c r="AF61" i="1"/>
  <c r="AE61" i="1"/>
  <c r="AD61" i="1"/>
  <c r="Z61" i="1"/>
  <c r="O61" i="1"/>
  <c r="BF61" i="1" s="1"/>
  <c r="L61" i="1"/>
  <c r="M61" i="1" s="1"/>
  <c r="BW59" i="1"/>
  <c r="BJ59" i="1"/>
  <c r="BD59" i="1"/>
  <c r="AP59" i="1"/>
  <c r="BI59" i="1" s="1"/>
  <c r="AC59" i="1" s="1"/>
  <c r="AO59" i="1"/>
  <c r="AK59" i="1"/>
  <c r="AJ59" i="1"/>
  <c r="AH59" i="1"/>
  <c r="AG59" i="1"/>
  <c r="AF59" i="1"/>
  <c r="AE59" i="1"/>
  <c r="AD59" i="1"/>
  <c r="Z59" i="1"/>
  <c r="O59" i="1"/>
  <c r="BF59" i="1" s="1"/>
  <c r="L59" i="1"/>
  <c r="AL59" i="1" s="1"/>
  <c r="BW57" i="1"/>
  <c r="BJ57" i="1"/>
  <c r="BD57" i="1"/>
  <c r="AP57" i="1"/>
  <c r="K57" i="1" s="1"/>
  <c r="AO57" i="1"/>
  <c r="BH57" i="1" s="1"/>
  <c r="AB57" i="1" s="1"/>
  <c r="AK57" i="1"/>
  <c r="AJ57" i="1"/>
  <c r="AH57" i="1"/>
  <c r="AG57" i="1"/>
  <c r="AF57" i="1"/>
  <c r="AE57" i="1"/>
  <c r="AD57" i="1"/>
  <c r="Z57" i="1"/>
  <c r="O57" i="1"/>
  <c r="L57" i="1"/>
  <c r="M57" i="1" s="1"/>
  <c r="BW53" i="1"/>
  <c r="BJ53" i="1"/>
  <c r="BF53" i="1"/>
  <c r="BD53" i="1"/>
  <c r="AP53" i="1"/>
  <c r="AO53" i="1"/>
  <c r="AK53" i="1"/>
  <c r="AJ53" i="1"/>
  <c r="AH53" i="1"/>
  <c r="AG53" i="1"/>
  <c r="AF53" i="1"/>
  <c r="AE53" i="1"/>
  <c r="AD53" i="1"/>
  <c r="Z53" i="1"/>
  <c r="O53" i="1"/>
  <c r="L53" i="1"/>
  <c r="M53" i="1" s="1"/>
  <c r="BW50" i="1"/>
  <c r="M50" i="1" s="1"/>
  <c r="BJ50" i="1"/>
  <c r="BD50" i="1"/>
  <c r="AP50" i="1"/>
  <c r="AO50" i="1"/>
  <c r="AL50" i="1"/>
  <c r="AK50" i="1"/>
  <c r="AJ50" i="1"/>
  <c r="AH50" i="1"/>
  <c r="AG50" i="1"/>
  <c r="AF50" i="1"/>
  <c r="AE50" i="1"/>
  <c r="AD50" i="1"/>
  <c r="Z50" i="1"/>
  <c r="O50" i="1"/>
  <c r="BF50" i="1" s="1"/>
  <c r="L50" i="1"/>
  <c r="O49" i="1"/>
  <c r="M49" i="1"/>
  <c r="L49" i="1"/>
  <c r="BW48" i="1"/>
  <c r="M48" i="1" s="1"/>
  <c r="BJ48" i="1"/>
  <c r="BF48" i="1"/>
  <c r="BD48" i="1"/>
  <c r="AP48" i="1"/>
  <c r="AO48" i="1"/>
  <c r="BH48" i="1" s="1"/>
  <c r="AB48" i="1" s="1"/>
  <c r="AL48" i="1"/>
  <c r="AK48" i="1"/>
  <c r="AJ48" i="1"/>
  <c r="AH48" i="1"/>
  <c r="AG48" i="1"/>
  <c r="AF48" i="1"/>
  <c r="AE48" i="1"/>
  <c r="AD48" i="1"/>
  <c r="Z48" i="1"/>
  <c r="O48" i="1"/>
  <c r="L48" i="1"/>
  <c r="BW47" i="1"/>
  <c r="BJ47" i="1"/>
  <c r="BF47" i="1"/>
  <c r="BD47" i="1"/>
  <c r="AP47" i="1"/>
  <c r="BI47" i="1" s="1"/>
  <c r="AC47" i="1" s="1"/>
  <c r="AO47" i="1"/>
  <c r="J47" i="1" s="1"/>
  <c r="AK47" i="1"/>
  <c r="AJ47" i="1"/>
  <c r="AH47" i="1"/>
  <c r="AG47" i="1"/>
  <c r="AF47" i="1"/>
  <c r="AE47" i="1"/>
  <c r="AD47" i="1"/>
  <c r="Z47" i="1"/>
  <c r="O47" i="1"/>
  <c r="L47" i="1"/>
  <c r="O46" i="1"/>
  <c r="BW43" i="1"/>
  <c r="BJ43" i="1"/>
  <c r="BD43" i="1"/>
  <c r="AP43" i="1"/>
  <c r="BI43" i="1" s="1"/>
  <c r="AC43" i="1" s="1"/>
  <c r="AO43" i="1"/>
  <c r="J43" i="1" s="1"/>
  <c r="J42" i="1" s="1"/>
  <c r="AK43" i="1"/>
  <c r="AT42" i="1" s="1"/>
  <c r="AJ43" i="1"/>
  <c r="AS42" i="1" s="1"/>
  <c r="AH43" i="1"/>
  <c r="AG43" i="1"/>
  <c r="AF43" i="1"/>
  <c r="AE43" i="1"/>
  <c r="AD43" i="1"/>
  <c r="Z43" i="1"/>
  <c r="O43" i="1"/>
  <c r="O42" i="1" s="1"/>
  <c r="L43" i="1"/>
  <c r="BW41" i="1"/>
  <c r="BJ41" i="1"/>
  <c r="BI41" i="1"/>
  <c r="AC41" i="1" s="1"/>
  <c r="BH41" i="1"/>
  <c r="AB41" i="1" s="1"/>
  <c r="BF41" i="1"/>
  <c r="BD41" i="1"/>
  <c r="AP41" i="1"/>
  <c r="K41" i="1" s="1"/>
  <c r="AO41" i="1"/>
  <c r="AW41" i="1" s="1"/>
  <c r="AK41" i="1"/>
  <c r="AJ41" i="1"/>
  <c r="AH41" i="1"/>
  <c r="AG41" i="1"/>
  <c r="AF41" i="1"/>
  <c r="AE41" i="1"/>
  <c r="AD41" i="1"/>
  <c r="Z41" i="1"/>
  <c r="O41" i="1"/>
  <c r="L41" i="1"/>
  <c r="AL41" i="1" s="1"/>
  <c r="BW39" i="1"/>
  <c r="BJ39" i="1"/>
  <c r="BF39" i="1"/>
  <c r="BD39" i="1"/>
  <c r="AP39" i="1"/>
  <c r="AO39" i="1"/>
  <c r="BH39" i="1" s="1"/>
  <c r="AB39" i="1" s="1"/>
  <c r="AK39" i="1"/>
  <c r="AJ39" i="1"/>
  <c r="AH39" i="1"/>
  <c r="AG39" i="1"/>
  <c r="AF39" i="1"/>
  <c r="AE39" i="1"/>
  <c r="AD39" i="1"/>
  <c r="Z39" i="1"/>
  <c r="O39" i="1"/>
  <c r="L39" i="1"/>
  <c r="AL39" i="1" s="1"/>
  <c r="BW37" i="1"/>
  <c r="BJ37" i="1"/>
  <c r="BH37" i="1"/>
  <c r="AB37" i="1" s="1"/>
  <c r="BD37" i="1"/>
  <c r="AP37" i="1"/>
  <c r="BI37" i="1" s="1"/>
  <c r="AC37" i="1" s="1"/>
  <c r="AO37" i="1"/>
  <c r="AW37" i="1" s="1"/>
  <c r="AK37" i="1"/>
  <c r="AJ37" i="1"/>
  <c r="AH37" i="1"/>
  <c r="AG37" i="1"/>
  <c r="AF37" i="1"/>
  <c r="AE37" i="1"/>
  <c r="AD37" i="1"/>
  <c r="Z37" i="1"/>
  <c r="O37" i="1"/>
  <c r="O34" i="1" s="1"/>
  <c r="L37" i="1"/>
  <c r="J37" i="1"/>
  <c r="BW35" i="1"/>
  <c r="BJ35" i="1"/>
  <c r="BD35" i="1"/>
  <c r="AP35" i="1"/>
  <c r="AO35" i="1"/>
  <c r="AK35" i="1"/>
  <c r="AJ35" i="1"/>
  <c r="AH35" i="1"/>
  <c r="AG35" i="1"/>
  <c r="AF35" i="1"/>
  <c r="AE35" i="1"/>
  <c r="AD35" i="1"/>
  <c r="Z35" i="1"/>
  <c r="O35" i="1"/>
  <c r="BF35" i="1" s="1"/>
  <c r="L35" i="1"/>
  <c r="AL35" i="1" s="1"/>
  <c r="BW33" i="1"/>
  <c r="BJ33" i="1"/>
  <c r="BI33" i="1"/>
  <c r="AC33" i="1" s="1"/>
  <c r="BF33" i="1"/>
  <c r="BD33" i="1"/>
  <c r="AP33" i="1"/>
  <c r="AX33" i="1" s="1"/>
  <c r="AO33" i="1"/>
  <c r="BH33" i="1" s="1"/>
  <c r="AK33" i="1"/>
  <c r="AJ33" i="1"/>
  <c r="AH33" i="1"/>
  <c r="AG33" i="1"/>
  <c r="AF33" i="1"/>
  <c r="AE33" i="1"/>
  <c r="AD33" i="1"/>
  <c r="AB33" i="1"/>
  <c r="Z33" i="1"/>
  <c r="O33" i="1"/>
  <c r="L33" i="1"/>
  <c r="AL33" i="1" s="1"/>
  <c r="BW30" i="1"/>
  <c r="BJ30" i="1"/>
  <c r="BI30" i="1"/>
  <c r="AC30" i="1" s="1"/>
  <c r="BF30" i="1"/>
  <c r="BD30" i="1"/>
  <c r="AP30" i="1"/>
  <c r="AX30" i="1" s="1"/>
  <c r="AO30" i="1"/>
  <c r="AW30" i="1" s="1"/>
  <c r="AK30" i="1"/>
  <c r="AJ30" i="1"/>
  <c r="AH30" i="1"/>
  <c r="AG30" i="1"/>
  <c r="AF30" i="1"/>
  <c r="AE30" i="1"/>
  <c r="AD30" i="1"/>
  <c r="Z30" i="1"/>
  <c r="O30" i="1"/>
  <c r="L30" i="1"/>
  <c r="M30" i="1" s="1"/>
  <c r="BW27" i="1"/>
  <c r="BJ27" i="1"/>
  <c r="BF27" i="1"/>
  <c r="BD27" i="1"/>
  <c r="AP27" i="1"/>
  <c r="AO27" i="1"/>
  <c r="AK27" i="1"/>
  <c r="AJ27" i="1"/>
  <c r="AH27" i="1"/>
  <c r="AG27" i="1"/>
  <c r="AF27" i="1"/>
  <c r="AE27" i="1"/>
  <c r="AD27" i="1"/>
  <c r="Z27" i="1"/>
  <c r="O27" i="1"/>
  <c r="L27" i="1"/>
  <c r="M27" i="1" s="1"/>
  <c r="BW24" i="1"/>
  <c r="BJ24" i="1"/>
  <c r="BD24" i="1"/>
  <c r="AP24" i="1"/>
  <c r="BI24" i="1" s="1"/>
  <c r="AC24" i="1" s="1"/>
  <c r="AO24" i="1"/>
  <c r="BH24" i="1" s="1"/>
  <c r="AB24" i="1" s="1"/>
  <c r="AK24" i="1"/>
  <c r="AJ24" i="1"/>
  <c r="AH24" i="1"/>
  <c r="AG24" i="1"/>
  <c r="AF24" i="1"/>
  <c r="AE24" i="1"/>
  <c r="AD24" i="1"/>
  <c r="Z24" i="1"/>
  <c r="O24" i="1"/>
  <c r="O13" i="1" s="1"/>
  <c r="L24" i="1"/>
  <c r="AL24" i="1" s="1"/>
  <c r="BW20" i="1"/>
  <c r="BJ20" i="1"/>
  <c r="BF20" i="1"/>
  <c r="BD20" i="1"/>
  <c r="AP20" i="1"/>
  <c r="AO20" i="1"/>
  <c r="AL20" i="1"/>
  <c r="AK20" i="1"/>
  <c r="AJ20" i="1"/>
  <c r="AH20" i="1"/>
  <c r="AG20" i="1"/>
  <c r="AF20" i="1"/>
  <c r="AE20" i="1"/>
  <c r="AD20" i="1"/>
  <c r="Z20" i="1"/>
  <c r="O20" i="1"/>
  <c r="L20" i="1"/>
  <c r="M20" i="1" s="1"/>
  <c r="BW18" i="1"/>
  <c r="BJ18" i="1"/>
  <c r="BD18" i="1"/>
  <c r="AP18" i="1"/>
  <c r="BI18" i="1" s="1"/>
  <c r="AC18" i="1" s="1"/>
  <c r="AO18" i="1"/>
  <c r="J18" i="1" s="1"/>
  <c r="AL18" i="1"/>
  <c r="AK18" i="1"/>
  <c r="AJ18" i="1"/>
  <c r="AH18" i="1"/>
  <c r="AG18" i="1"/>
  <c r="AF18" i="1"/>
  <c r="AE18" i="1"/>
  <c r="AD18" i="1"/>
  <c r="Z18" i="1"/>
  <c r="O18" i="1"/>
  <c r="BF18" i="1" s="1"/>
  <c r="L18" i="1"/>
  <c r="M18" i="1" s="1"/>
  <c r="BW16" i="1"/>
  <c r="BJ16" i="1"/>
  <c r="BD16" i="1"/>
  <c r="AP16" i="1"/>
  <c r="AX16" i="1" s="1"/>
  <c r="AO16" i="1"/>
  <c r="J16" i="1" s="1"/>
  <c r="AL16" i="1"/>
  <c r="AK16" i="1"/>
  <c r="AJ16" i="1"/>
  <c r="AH16" i="1"/>
  <c r="AG16" i="1"/>
  <c r="AF16" i="1"/>
  <c r="AE16" i="1"/>
  <c r="AD16" i="1"/>
  <c r="Z16" i="1"/>
  <c r="O16" i="1"/>
  <c r="BF16" i="1" s="1"/>
  <c r="L16" i="1"/>
  <c r="M16" i="1" s="1"/>
  <c r="BW14" i="1"/>
  <c r="BJ14" i="1"/>
  <c r="BD14" i="1"/>
  <c r="AP14" i="1"/>
  <c r="BI14" i="1" s="1"/>
  <c r="AC14" i="1" s="1"/>
  <c r="AO14" i="1"/>
  <c r="J14" i="1" s="1"/>
  <c r="AL14" i="1"/>
  <c r="AK14" i="1"/>
  <c r="AJ14" i="1"/>
  <c r="AH14" i="1"/>
  <c r="AG14" i="1"/>
  <c r="AF14" i="1"/>
  <c r="AE14" i="1"/>
  <c r="AD14" i="1"/>
  <c r="Z14" i="1"/>
  <c r="O14" i="1"/>
  <c r="BF14" i="1" s="1"/>
  <c r="L14" i="1"/>
  <c r="AU1" i="1"/>
  <c r="AT1" i="1"/>
  <c r="AS1" i="1"/>
  <c r="AL265" i="1" l="1"/>
  <c r="AL229" i="1"/>
  <c r="L365" i="1"/>
  <c r="L364" i="1" s="1"/>
  <c r="K16" i="2" s="1"/>
  <c r="P16" i="2" s="1"/>
  <c r="AX362" i="1"/>
  <c r="AX360" i="1"/>
  <c r="BI360" i="1"/>
  <c r="AC360" i="1" s="1"/>
  <c r="BH358" i="1"/>
  <c r="AB358" i="1" s="1"/>
  <c r="J358" i="1"/>
  <c r="BC352" i="1"/>
  <c r="AX346" i="1"/>
  <c r="BI346" i="1"/>
  <c r="AC346" i="1" s="1"/>
  <c r="AS339" i="1"/>
  <c r="AT339" i="1"/>
  <c r="AX342" i="1"/>
  <c r="K342" i="1"/>
  <c r="AX340" i="1"/>
  <c r="BI340" i="1"/>
  <c r="AC340" i="1" s="1"/>
  <c r="AW332" i="1"/>
  <c r="AL332" i="1"/>
  <c r="BH332" i="1"/>
  <c r="AF332" i="1" s="1"/>
  <c r="AW326" i="1"/>
  <c r="AT325" i="1"/>
  <c r="BH326" i="1"/>
  <c r="AF326" i="1" s="1"/>
  <c r="AW323" i="1"/>
  <c r="BH323" i="1"/>
  <c r="AF323" i="1" s="1"/>
  <c r="J319" i="1"/>
  <c r="AW319" i="1"/>
  <c r="K319" i="1"/>
  <c r="BI319" i="1"/>
  <c r="AG319" i="1" s="1"/>
  <c r="M317" i="1"/>
  <c r="AT309" i="1"/>
  <c r="AU309" i="1"/>
  <c r="AS309" i="1"/>
  <c r="M314" i="1"/>
  <c r="AW312" i="1"/>
  <c r="J312" i="1"/>
  <c r="BH304" i="1"/>
  <c r="AF304" i="1" s="1"/>
  <c r="J304" i="1"/>
  <c r="K304" i="1"/>
  <c r="BI304" i="1"/>
  <c r="AG304" i="1" s="1"/>
  <c r="AX302" i="1"/>
  <c r="K302" i="1"/>
  <c r="M302" i="1"/>
  <c r="AW299" i="1"/>
  <c r="BH299" i="1"/>
  <c r="AF299" i="1" s="1"/>
  <c r="M299" i="1"/>
  <c r="M296" i="1"/>
  <c r="M294" i="1"/>
  <c r="AW291" i="1"/>
  <c r="AX291" i="1"/>
  <c r="K291" i="1"/>
  <c r="BH291" i="1"/>
  <c r="AF291" i="1" s="1"/>
  <c r="M289" i="1"/>
  <c r="AW287" i="1"/>
  <c r="BH287" i="1"/>
  <c r="AF287" i="1" s="1"/>
  <c r="M284" i="1"/>
  <c r="J282" i="1"/>
  <c r="AW282" i="1"/>
  <c r="K282" i="1"/>
  <c r="AX282" i="1"/>
  <c r="AS273" i="1"/>
  <c r="AW280" i="1"/>
  <c r="J280" i="1"/>
  <c r="M280" i="1"/>
  <c r="BI277" i="1"/>
  <c r="AG277" i="1" s="1"/>
  <c r="K277" i="1"/>
  <c r="BH277" i="1"/>
  <c r="AF277" i="1" s="1"/>
  <c r="BI275" i="1"/>
  <c r="AG275" i="1" s="1"/>
  <c r="K275" i="1"/>
  <c r="AL275" i="1"/>
  <c r="AW274" i="1"/>
  <c r="BH274" i="1"/>
  <c r="AB274" i="1" s="1"/>
  <c r="K272" i="1"/>
  <c r="K271" i="1" s="1"/>
  <c r="AW268" i="1"/>
  <c r="BH268" i="1"/>
  <c r="AF268" i="1" s="1"/>
  <c r="AX260" i="1"/>
  <c r="K260" i="1"/>
  <c r="BI265" i="1"/>
  <c r="AG265" i="1" s="1"/>
  <c r="AW262" i="1"/>
  <c r="AX262" i="1"/>
  <c r="J262" i="1"/>
  <c r="K262" i="1"/>
  <c r="AW259" i="1"/>
  <c r="BH259" i="1"/>
  <c r="AF259" i="1" s="1"/>
  <c r="M259" i="1"/>
  <c r="AX256" i="1"/>
  <c r="M254" i="1"/>
  <c r="AW252" i="1"/>
  <c r="AL251" i="1"/>
  <c r="AL247" i="1"/>
  <c r="AW247" i="1"/>
  <c r="BH247" i="1"/>
  <c r="AB247" i="1" s="1"/>
  <c r="L243" i="1"/>
  <c r="AW244" i="1"/>
  <c r="AU243" i="1"/>
  <c r="M243" i="1"/>
  <c r="J244" i="1"/>
  <c r="J243" i="1" s="1"/>
  <c r="K244" i="1"/>
  <c r="K243" i="1" s="1"/>
  <c r="BI244" i="1"/>
  <c r="AC244" i="1" s="1"/>
  <c r="M235" i="1"/>
  <c r="M234" i="1" s="1"/>
  <c r="AL235" i="1"/>
  <c r="AU234" i="1" s="1"/>
  <c r="AV235" i="1"/>
  <c r="AS226" i="1"/>
  <c r="AW227" i="1"/>
  <c r="AT226" i="1"/>
  <c r="AX227" i="1"/>
  <c r="BC227" i="1" s="1"/>
  <c r="J227" i="1"/>
  <c r="K227" i="1"/>
  <c r="AX225" i="1"/>
  <c r="BI225" i="1"/>
  <c r="AW222" i="1"/>
  <c r="J222" i="1"/>
  <c r="AL217" i="1"/>
  <c r="AU216" i="1" s="1"/>
  <c r="M214" i="1"/>
  <c r="AX214" i="1"/>
  <c r="AS211" i="1"/>
  <c r="AX212" i="1"/>
  <c r="BC212" i="1" s="1"/>
  <c r="J212" i="1"/>
  <c r="BH212" i="1"/>
  <c r="AB212" i="1" s="1"/>
  <c r="K212" i="1"/>
  <c r="AS208" i="1"/>
  <c r="AX210" i="1"/>
  <c r="BI210" i="1"/>
  <c r="AC210" i="1" s="1"/>
  <c r="BH209" i="1"/>
  <c r="AB209" i="1" s="1"/>
  <c r="K209" i="1"/>
  <c r="K208" i="1" s="1"/>
  <c r="BI209" i="1"/>
  <c r="AC209" i="1" s="1"/>
  <c r="AW209" i="1"/>
  <c r="AV209" i="1" s="1"/>
  <c r="AT208" i="1"/>
  <c r="AT203" i="1"/>
  <c r="AX204" i="1"/>
  <c r="AV204" i="1" s="1"/>
  <c r="BI204" i="1"/>
  <c r="AC204" i="1" s="1"/>
  <c r="AX194" i="1"/>
  <c r="BI194" i="1"/>
  <c r="AC194" i="1" s="1"/>
  <c r="AV192" i="1"/>
  <c r="K190" i="1"/>
  <c r="AL189" i="1"/>
  <c r="L188" i="1"/>
  <c r="BH185" i="1"/>
  <c r="AB185" i="1" s="1"/>
  <c r="J185" i="1"/>
  <c r="AX184" i="1"/>
  <c r="AV182" i="1"/>
  <c r="AT177" i="1"/>
  <c r="BC182" i="1"/>
  <c r="BH182" i="1"/>
  <c r="AB182" i="1" s="1"/>
  <c r="AW180" i="1"/>
  <c r="BH180" i="1"/>
  <c r="AB180" i="1" s="1"/>
  <c r="AX178" i="1"/>
  <c r="K178" i="1"/>
  <c r="M178" i="1"/>
  <c r="M175" i="1"/>
  <c r="AS172" i="1"/>
  <c r="AT172" i="1"/>
  <c r="AL174" i="1"/>
  <c r="BH173" i="1"/>
  <c r="AB173" i="1" s="1"/>
  <c r="J173" i="1"/>
  <c r="M168" i="1"/>
  <c r="J166" i="1"/>
  <c r="K166" i="1"/>
  <c r="BH166" i="1"/>
  <c r="BI166" i="1"/>
  <c r="BH159" i="1"/>
  <c r="BI159" i="1"/>
  <c r="AW153" i="1"/>
  <c r="J153" i="1"/>
  <c r="AX152" i="1"/>
  <c r="BI152" i="1"/>
  <c r="AS144" i="1"/>
  <c r="AT144" i="1"/>
  <c r="AW147" i="1"/>
  <c r="BH147" i="1"/>
  <c r="AW142" i="1"/>
  <c r="J142" i="1"/>
  <c r="J141" i="1" s="1"/>
  <c r="K142" i="1"/>
  <c r="K141" i="1" s="1"/>
  <c r="BI142" i="1"/>
  <c r="M142" i="1"/>
  <c r="M141" i="1" s="1"/>
  <c r="BH140" i="1"/>
  <c r="AB140" i="1" s="1"/>
  <c r="BI140" i="1"/>
  <c r="AC140" i="1" s="1"/>
  <c r="BH138" i="1"/>
  <c r="AB138" i="1" s="1"/>
  <c r="AX135" i="1"/>
  <c r="BI135" i="1"/>
  <c r="AC135" i="1" s="1"/>
  <c r="M134" i="1"/>
  <c r="BC127" i="1"/>
  <c r="AL125" i="1"/>
  <c r="AU122" i="1" s="1"/>
  <c r="AT122" i="1"/>
  <c r="AS122" i="1"/>
  <c r="M118" i="1"/>
  <c r="BC118" i="1"/>
  <c r="AS107" i="1"/>
  <c r="AX108" i="1"/>
  <c r="BC108" i="1" s="1"/>
  <c r="AL106" i="1"/>
  <c r="AW104" i="1"/>
  <c r="AX104" i="1"/>
  <c r="J104" i="1"/>
  <c r="K104" i="1"/>
  <c r="AL103" i="1"/>
  <c r="AS97" i="1"/>
  <c r="AT97" i="1"/>
  <c r="AW101" i="1"/>
  <c r="AX98" i="1"/>
  <c r="J98" i="1"/>
  <c r="L84" i="1"/>
  <c r="AL94" i="1"/>
  <c r="AS84" i="1"/>
  <c r="AL90" i="1"/>
  <c r="AU84" i="1" s="1"/>
  <c r="AT84" i="1"/>
  <c r="AX87" i="1"/>
  <c r="AV87" i="1" s="1"/>
  <c r="BH87" i="1"/>
  <c r="AB87" i="1" s="1"/>
  <c r="BI87" i="1"/>
  <c r="AC87" i="1" s="1"/>
  <c r="M84" i="1"/>
  <c r="BI81" i="1"/>
  <c r="AC81" i="1" s="1"/>
  <c r="M81" i="1"/>
  <c r="K81" i="1"/>
  <c r="K70" i="1" s="1"/>
  <c r="AL78" i="1"/>
  <c r="AL75" i="1"/>
  <c r="AT70" i="1"/>
  <c r="AW71" i="1"/>
  <c r="AX71" i="1"/>
  <c r="AV71" i="1" s="1"/>
  <c r="AW63" i="1"/>
  <c r="AX63" i="1"/>
  <c r="J63" i="1"/>
  <c r="K63" i="1"/>
  <c r="AS56" i="1"/>
  <c r="AT56" i="1"/>
  <c r="AW57" i="1"/>
  <c r="AX57" i="1"/>
  <c r="BI57" i="1"/>
  <c r="AC57" i="1" s="1"/>
  <c r="J57" i="1"/>
  <c r="AS49" i="1"/>
  <c r="AL53" i="1"/>
  <c r="AU49" i="1" s="1"/>
  <c r="AT49" i="1"/>
  <c r="AS46" i="1"/>
  <c r="AW47" i="1"/>
  <c r="AX47" i="1"/>
  <c r="BH47" i="1"/>
  <c r="AB47" i="1" s="1"/>
  <c r="K47" i="1"/>
  <c r="AW43" i="1"/>
  <c r="BH43" i="1"/>
  <c r="AB43" i="1" s="1"/>
  <c r="AX41" i="1"/>
  <c r="AV41" i="1" s="1"/>
  <c r="AS34" i="1"/>
  <c r="AT34" i="1"/>
  <c r="M33" i="1"/>
  <c r="AL30" i="1"/>
  <c r="BH30" i="1"/>
  <c r="AB30" i="1" s="1"/>
  <c r="AL27" i="1"/>
  <c r="AW24" i="1"/>
  <c r="J24" i="1"/>
  <c r="AX24" i="1"/>
  <c r="K24" i="1"/>
  <c r="AU13" i="1"/>
  <c r="AW18" i="1"/>
  <c r="BH18" i="1"/>
  <c r="AB18" i="1" s="1"/>
  <c r="AW16" i="1"/>
  <c r="BH16" i="1"/>
  <c r="AB16" i="1" s="1"/>
  <c r="BI16" i="1"/>
  <c r="AC16" i="1" s="1"/>
  <c r="K16" i="1"/>
  <c r="AS13" i="1"/>
  <c r="AT13" i="1"/>
  <c r="L107" i="1"/>
  <c r="AL108" i="1"/>
  <c r="AU107" i="1" s="1"/>
  <c r="AX50" i="1"/>
  <c r="BI50" i="1"/>
  <c r="AC50" i="1" s="1"/>
  <c r="K50" i="1"/>
  <c r="J59" i="1"/>
  <c r="BH59" i="1"/>
  <c r="AB59" i="1" s="1"/>
  <c r="AW59" i="1"/>
  <c r="BH68" i="1"/>
  <c r="AB68" i="1" s="1"/>
  <c r="J68" i="1"/>
  <c r="AW68" i="1"/>
  <c r="L97" i="1"/>
  <c r="AL98" i="1"/>
  <c r="K107" i="1"/>
  <c r="BI335" i="1"/>
  <c r="AX335" i="1"/>
  <c r="AV335" i="1" s="1"/>
  <c r="BH65" i="1"/>
  <c r="AB65" i="1" s="1"/>
  <c r="J65" i="1"/>
  <c r="AW65" i="1"/>
  <c r="M98" i="1"/>
  <c r="J163" i="1"/>
  <c r="BH163" i="1"/>
  <c r="M298" i="1"/>
  <c r="AL298" i="1"/>
  <c r="BI65" i="1"/>
  <c r="AC65" i="1" s="1"/>
  <c r="K65" i="1"/>
  <c r="AX65" i="1"/>
  <c r="M104" i="1"/>
  <c r="AL104" i="1"/>
  <c r="AW112" i="1"/>
  <c r="J112" i="1"/>
  <c r="BH112" i="1"/>
  <c r="AB112" i="1" s="1"/>
  <c r="BI163" i="1"/>
  <c r="AX163" i="1"/>
  <c r="K163" i="1"/>
  <c r="BH256" i="1"/>
  <c r="AF256" i="1" s="1"/>
  <c r="BC335" i="1"/>
  <c r="BC16" i="1"/>
  <c r="AV16" i="1"/>
  <c r="AV147" i="1"/>
  <c r="BI150" i="1"/>
  <c r="K150" i="1"/>
  <c r="AW163" i="1"/>
  <c r="AL210" i="1"/>
  <c r="L208" i="1"/>
  <c r="BH310" i="1"/>
  <c r="AF310" i="1" s="1"/>
  <c r="AW310" i="1"/>
  <c r="J310" i="1"/>
  <c r="AX37" i="1"/>
  <c r="AV37" i="1" s="1"/>
  <c r="BI197" i="1"/>
  <c r="AC197" i="1" s="1"/>
  <c r="K197" i="1"/>
  <c r="K193" i="1" s="1"/>
  <c r="AX197" i="1"/>
  <c r="AV197" i="1" s="1"/>
  <c r="M210" i="1"/>
  <c r="AW256" i="1"/>
  <c r="K335" i="1"/>
  <c r="K334" i="1" s="1"/>
  <c r="BC71" i="1"/>
  <c r="M108" i="1"/>
  <c r="M107" i="1" s="1"/>
  <c r="AX150" i="1"/>
  <c r="AV150" i="1" s="1"/>
  <c r="BI293" i="1"/>
  <c r="AG293" i="1" s="1"/>
  <c r="K293" i="1"/>
  <c r="K37" i="1"/>
  <c r="BC41" i="1"/>
  <c r="M63" i="1"/>
  <c r="BH229" i="1"/>
  <c r="AW229" i="1"/>
  <c r="J229" i="1"/>
  <c r="AV293" i="1"/>
  <c r="J346" i="1"/>
  <c r="AW346" i="1"/>
  <c r="BH346" i="1"/>
  <c r="AB346" i="1" s="1"/>
  <c r="AL37" i="1"/>
  <c r="L34" i="1"/>
  <c r="M37" i="1"/>
  <c r="AL71" i="1"/>
  <c r="AU70" i="1" s="1"/>
  <c r="L70" i="1"/>
  <c r="J123" i="1"/>
  <c r="AW123" i="1"/>
  <c r="BH123" i="1"/>
  <c r="AB123" i="1" s="1"/>
  <c r="BI229" i="1"/>
  <c r="AX229" i="1"/>
  <c r="K229" i="1"/>
  <c r="AX293" i="1"/>
  <c r="BC293" i="1" s="1"/>
  <c r="BH344" i="1"/>
  <c r="AB344" i="1" s="1"/>
  <c r="J344" i="1"/>
  <c r="M71" i="1"/>
  <c r="M70" i="1" s="1"/>
  <c r="L115" i="1"/>
  <c r="M116" i="1"/>
  <c r="AL116" i="1"/>
  <c r="AU115" i="1" s="1"/>
  <c r="AW205" i="1"/>
  <c r="BH205" i="1"/>
  <c r="AB205" i="1" s="1"/>
  <c r="BI344" i="1"/>
  <c r="AC344" i="1" s="1"/>
  <c r="K344" i="1"/>
  <c r="AX344" i="1"/>
  <c r="M41" i="1"/>
  <c r="AX205" i="1"/>
  <c r="K205" i="1"/>
  <c r="K203" i="1" s="1"/>
  <c r="BI205" i="1"/>
  <c r="AC205" i="1" s="1"/>
  <c r="M227" i="1"/>
  <c r="M226" i="1" s="1"/>
  <c r="L226" i="1"/>
  <c r="AL227" i="1"/>
  <c r="AU226" i="1" s="1"/>
  <c r="M272" i="1"/>
  <c r="M271" i="1" s="1"/>
  <c r="AL272" i="1"/>
  <c r="AU271" i="1" s="1"/>
  <c r="L271" i="1"/>
  <c r="AX280" i="1"/>
  <c r="AV280" i="1" s="1"/>
  <c r="BI280" i="1"/>
  <c r="AG280" i="1" s="1"/>
  <c r="K280" i="1"/>
  <c r="M321" i="1"/>
  <c r="AW344" i="1"/>
  <c r="J208" i="1"/>
  <c r="BF227" i="1"/>
  <c r="O226" i="1"/>
  <c r="AV90" i="1"/>
  <c r="BC90" i="1"/>
  <c r="BH130" i="1"/>
  <c r="AB130" i="1" s="1"/>
  <c r="AW130" i="1"/>
  <c r="J130" i="1"/>
  <c r="BH155" i="1"/>
  <c r="AW155" i="1"/>
  <c r="J155" i="1"/>
  <c r="O203" i="1"/>
  <c r="O171" i="1" s="1"/>
  <c r="L13" i="2" s="1"/>
  <c r="BF204" i="1"/>
  <c r="AS249" i="1"/>
  <c r="BC280" i="1"/>
  <c r="C17" i="3"/>
  <c r="AV47" i="1"/>
  <c r="BC47" i="1"/>
  <c r="AX90" i="1"/>
  <c r="BI101" i="1"/>
  <c r="AC101" i="1" s="1"/>
  <c r="K101" i="1"/>
  <c r="AX101" i="1"/>
  <c r="AX130" i="1"/>
  <c r="K130" i="1"/>
  <c r="BI130" i="1"/>
  <c r="AC130" i="1" s="1"/>
  <c r="AW189" i="1"/>
  <c r="BH189" i="1"/>
  <c r="AB189" i="1" s="1"/>
  <c r="J189" i="1"/>
  <c r="J188" i="1" s="1"/>
  <c r="M342" i="1"/>
  <c r="BC30" i="1"/>
  <c r="AV30" i="1"/>
  <c r="J136" i="1"/>
  <c r="BH136" i="1"/>
  <c r="AB136" i="1" s="1"/>
  <c r="AW136" i="1"/>
  <c r="BI189" i="1"/>
  <c r="AC189" i="1" s="1"/>
  <c r="K189" i="1"/>
  <c r="K188" i="1" s="1"/>
  <c r="AX189" i="1"/>
  <c r="J205" i="1"/>
  <c r="J203" i="1" s="1"/>
  <c r="AX299" i="1"/>
  <c r="AV299" i="1" s="1"/>
  <c r="BI299" i="1"/>
  <c r="AG299" i="1" s="1"/>
  <c r="K299" i="1"/>
  <c r="M24" i="1"/>
  <c r="AX222" i="1"/>
  <c r="AV222" i="1" s="1"/>
  <c r="K222" i="1"/>
  <c r="BI222" i="1"/>
  <c r="M277" i="1"/>
  <c r="AL277" i="1"/>
  <c r="AU273" i="1" s="1"/>
  <c r="L273" i="1"/>
  <c r="AU325" i="1"/>
  <c r="O12" i="1"/>
  <c r="L12" i="2" s="1"/>
  <c r="K90" i="1"/>
  <c r="BH106" i="1"/>
  <c r="AB106" i="1" s="1"/>
  <c r="J106" i="1"/>
  <c r="AW106" i="1"/>
  <c r="M127" i="1"/>
  <c r="AV250" i="1"/>
  <c r="BC250" i="1"/>
  <c r="BI106" i="1"/>
  <c r="AC106" i="1" s="1"/>
  <c r="K106" i="1"/>
  <c r="AX106" i="1"/>
  <c r="AT107" i="1"/>
  <c r="AS115" i="1"/>
  <c r="M262" i="1"/>
  <c r="AU34" i="1"/>
  <c r="BH50" i="1"/>
  <c r="AB50" i="1" s="1"/>
  <c r="AW50" i="1"/>
  <c r="J50" i="1"/>
  <c r="AS70" i="1"/>
  <c r="AV108" i="1"/>
  <c r="AT115" i="1"/>
  <c r="M135" i="1"/>
  <c r="L249" i="1"/>
  <c r="BI68" i="1"/>
  <c r="AC68" i="1" s="1"/>
  <c r="K68" i="1"/>
  <c r="AX112" i="1"/>
  <c r="K112" i="1"/>
  <c r="AX123" i="1"/>
  <c r="K123" i="1"/>
  <c r="M220" i="1"/>
  <c r="AL220" i="1"/>
  <c r="AU219" i="1" s="1"/>
  <c r="BH331" i="1"/>
  <c r="AF331" i="1" s="1"/>
  <c r="J331" i="1"/>
  <c r="M335" i="1"/>
  <c r="M334" i="1" s="1"/>
  <c r="L334" i="1"/>
  <c r="BI348" i="1"/>
  <c r="AC348" i="1" s="1"/>
  <c r="K348" i="1"/>
  <c r="BH350" i="1"/>
  <c r="AB350" i="1" s="1"/>
  <c r="J350" i="1"/>
  <c r="AW350" i="1"/>
  <c r="BF24" i="1"/>
  <c r="AW27" i="1"/>
  <c r="J27" i="1"/>
  <c r="L46" i="1"/>
  <c r="AL47" i="1"/>
  <c r="AU46" i="1" s="1"/>
  <c r="AX94" i="1"/>
  <c r="BC94" i="1" s="1"/>
  <c r="K94" i="1"/>
  <c r="AS156" i="1"/>
  <c r="M182" i="1"/>
  <c r="M222" i="1"/>
  <c r="BH251" i="1"/>
  <c r="AF251" i="1" s="1"/>
  <c r="J251" i="1"/>
  <c r="AX259" i="1"/>
  <c r="AV259" i="1" s="1"/>
  <c r="K259" i="1"/>
  <c r="M287" i="1"/>
  <c r="M329" i="1"/>
  <c r="BF335" i="1"/>
  <c r="AX27" i="1"/>
  <c r="K27" i="1"/>
  <c r="BF37" i="1"/>
  <c r="M47" i="1"/>
  <c r="M46" i="1" s="1"/>
  <c r="AX59" i="1"/>
  <c r="AX120" i="1"/>
  <c r="BI120" i="1"/>
  <c r="AC120" i="1" s="1"/>
  <c r="AX132" i="1"/>
  <c r="AT156" i="1"/>
  <c r="AW200" i="1"/>
  <c r="BH200" i="1"/>
  <c r="AB200" i="1" s="1"/>
  <c r="M250" i="1"/>
  <c r="M293" i="1"/>
  <c r="AW294" i="1"/>
  <c r="BH294" i="1"/>
  <c r="AF294" i="1" s="1"/>
  <c r="AW331" i="1"/>
  <c r="AX348" i="1"/>
  <c r="AX350" i="1"/>
  <c r="M360" i="1"/>
  <c r="K18" i="1"/>
  <c r="AX48" i="1"/>
  <c r="BI48" i="1"/>
  <c r="AC48" i="1" s="1"/>
  <c r="AW53" i="1"/>
  <c r="J53" i="1"/>
  <c r="K59" i="1"/>
  <c r="K56" i="1" s="1"/>
  <c r="AX68" i="1"/>
  <c r="BH85" i="1"/>
  <c r="AB85" i="1" s="1"/>
  <c r="AW85" i="1"/>
  <c r="M101" i="1"/>
  <c r="AL101" i="1"/>
  <c r="BI112" i="1"/>
  <c r="AC112" i="1" s="1"/>
  <c r="L122" i="1"/>
  <c r="K136" i="1"/>
  <c r="BC140" i="1"/>
  <c r="AV140" i="1"/>
  <c r="M150" i="1"/>
  <c r="AL150" i="1"/>
  <c r="AU144" i="1" s="1"/>
  <c r="M155" i="1"/>
  <c r="AU156" i="1"/>
  <c r="AU177" i="1"/>
  <c r="M215" i="1"/>
  <c r="AW251" i="1"/>
  <c r="AT273" i="1"/>
  <c r="AX289" i="1"/>
  <c r="BI289" i="1"/>
  <c r="AG289" i="1" s="1"/>
  <c r="AX294" i="1"/>
  <c r="K294" i="1"/>
  <c r="BI294" i="1"/>
  <c r="AG294" i="1" s="1"/>
  <c r="K310" i="1"/>
  <c r="AV326" i="1"/>
  <c r="AL362" i="1"/>
  <c r="M362" i="1"/>
  <c r="BI366" i="1"/>
  <c r="AC366" i="1" s="1"/>
  <c r="AX366" i="1"/>
  <c r="K366" i="1"/>
  <c r="K365" i="1" s="1"/>
  <c r="K364" i="1" s="1"/>
  <c r="J16" i="2" s="1"/>
  <c r="AX18" i="1"/>
  <c r="AV18" i="1" s="1"/>
  <c r="AX39" i="1"/>
  <c r="K39" i="1"/>
  <c r="AX53" i="1"/>
  <c r="K53" i="1"/>
  <c r="AX85" i="1"/>
  <c r="K85" i="1"/>
  <c r="J94" i="1"/>
  <c r="J120" i="1"/>
  <c r="AW120" i="1"/>
  <c r="M123" i="1"/>
  <c r="BF155" i="1"/>
  <c r="L177" i="1"/>
  <c r="AW178" i="1"/>
  <c r="BH178" i="1"/>
  <c r="AB178" i="1" s="1"/>
  <c r="J178" i="1"/>
  <c r="J177" i="1" s="1"/>
  <c r="L211" i="1"/>
  <c r="AL212" i="1"/>
  <c r="AU211" i="1" s="1"/>
  <c r="AW217" i="1"/>
  <c r="BH217" i="1"/>
  <c r="AX251" i="1"/>
  <c r="AL256" i="1"/>
  <c r="AU249" i="1" s="1"/>
  <c r="M256" i="1"/>
  <c r="AX274" i="1"/>
  <c r="BC326" i="1"/>
  <c r="K332" i="1"/>
  <c r="AX332" i="1"/>
  <c r="BI332" i="1"/>
  <c r="AG332" i="1" s="1"/>
  <c r="AW14" i="1"/>
  <c r="BH27" i="1"/>
  <c r="AB27" i="1" s="1"/>
  <c r="AW48" i="1"/>
  <c r="M59" i="1"/>
  <c r="M65" i="1"/>
  <c r="BH94" i="1"/>
  <c r="AB94" i="1" s="1"/>
  <c r="K120" i="1"/>
  <c r="BI123" i="1"/>
  <c r="AC123" i="1" s="1"/>
  <c r="AX125" i="1"/>
  <c r="BC125" i="1" s="1"/>
  <c r="K125" i="1"/>
  <c r="J152" i="1"/>
  <c r="AW152" i="1"/>
  <c r="M173" i="1"/>
  <c r="M172" i="1" s="1"/>
  <c r="AL173" i="1"/>
  <c r="AU172" i="1" s="1"/>
  <c r="L172" i="1"/>
  <c r="AW184" i="1"/>
  <c r="M197" i="1"/>
  <c r="AX200" i="1"/>
  <c r="M212" i="1"/>
  <c r="BI213" i="1"/>
  <c r="AC213" i="1" s="1"/>
  <c r="K213" i="1"/>
  <c r="AX213" i="1"/>
  <c r="AW225" i="1"/>
  <c r="BI259" i="1"/>
  <c r="AG259" i="1" s="1"/>
  <c r="AX268" i="1"/>
  <c r="J289" i="1"/>
  <c r="AW289" i="1"/>
  <c r="J294" i="1"/>
  <c r="M309" i="1"/>
  <c r="K326" i="1"/>
  <c r="K331" i="1"/>
  <c r="M346" i="1"/>
  <c r="K14" i="1"/>
  <c r="AX14" i="1"/>
  <c r="BH20" i="1"/>
  <c r="AB20" i="1" s="1"/>
  <c r="AW20" i="1"/>
  <c r="J20" i="1"/>
  <c r="BI27" i="1"/>
  <c r="AC27" i="1" s="1"/>
  <c r="AW39" i="1"/>
  <c r="J78" i="1"/>
  <c r="BI94" i="1"/>
  <c r="AC94" i="1" s="1"/>
  <c r="M132" i="1"/>
  <c r="BI136" i="1"/>
  <c r="AC136" i="1" s="1"/>
  <c r="J225" i="1"/>
  <c r="J219" i="1" s="1"/>
  <c r="K251" i="1"/>
  <c r="AX252" i="1"/>
  <c r="AV252" i="1" s="1"/>
  <c r="K252" i="1"/>
  <c r="K274" i="1"/>
  <c r="J284" i="1"/>
  <c r="AW284" i="1"/>
  <c r="K289" i="1"/>
  <c r="BI310" i="1"/>
  <c r="AG310" i="1" s="1"/>
  <c r="BI331" i="1"/>
  <c r="AG331" i="1" s="1"/>
  <c r="K350" i="1"/>
  <c r="BH354" i="1"/>
  <c r="AB354" i="1" s="1"/>
  <c r="J354" i="1"/>
  <c r="L13" i="1"/>
  <c r="AX20" i="1"/>
  <c r="K20" i="1"/>
  <c r="BH35" i="1"/>
  <c r="AB35" i="1" s="1"/>
  <c r="J35" i="1"/>
  <c r="J39" i="1"/>
  <c r="K43" i="1"/>
  <c r="K42" i="1" s="1"/>
  <c r="AX43" i="1"/>
  <c r="AV43" i="1" s="1"/>
  <c r="J48" i="1"/>
  <c r="J46" i="1" s="1"/>
  <c r="BH53" i="1"/>
  <c r="AB53" i="1" s="1"/>
  <c r="AW61" i="1"/>
  <c r="K78" i="1"/>
  <c r="AW78" i="1"/>
  <c r="AW103" i="1"/>
  <c r="BI132" i="1"/>
  <c r="AC132" i="1" s="1"/>
  <c r="AX134" i="1"/>
  <c r="BI134" i="1"/>
  <c r="AC134" i="1" s="1"/>
  <c r="L144" i="1"/>
  <c r="J174" i="1"/>
  <c r="J172" i="1" s="1"/>
  <c r="BI180" i="1"/>
  <c r="AC180" i="1" s="1"/>
  <c r="K180" i="1"/>
  <c r="K177" i="1" s="1"/>
  <c r="J184" i="1"/>
  <c r="J183" i="1" s="1"/>
  <c r="AW213" i="1"/>
  <c r="K268" i="1"/>
  <c r="BC304" i="1"/>
  <c r="AX321" i="1"/>
  <c r="K321" i="1"/>
  <c r="AW328" i="1"/>
  <c r="J328" i="1"/>
  <c r="BH328" i="1"/>
  <c r="AF328" i="1" s="1"/>
  <c r="AL348" i="1"/>
  <c r="M348" i="1"/>
  <c r="BI354" i="1"/>
  <c r="AC354" i="1" s="1"/>
  <c r="K354" i="1"/>
  <c r="M14" i="1"/>
  <c r="K35" i="1"/>
  <c r="AX35" i="1"/>
  <c r="L42" i="1"/>
  <c r="AL43" i="1"/>
  <c r="AU42" i="1" s="1"/>
  <c r="K48" i="1"/>
  <c r="K46" i="1" s="1"/>
  <c r="BI53" i="1"/>
  <c r="AC53" i="1" s="1"/>
  <c r="J61" i="1"/>
  <c r="AX61" i="1"/>
  <c r="AX78" i="1"/>
  <c r="J85" i="1"/>
  <c r="BI85" i="1"/>
  <c r="AC85" i="1" s="1"/>
  <c r="J103" i="1"/>
  <c r="AX103" i="1"/>
  <c r="O107" i="1"/>
  <c r="AX121" i="1"/>
  <c r="AV121" i="1" s="1"/>
  <c r="J125" i="1"/>
  <c r="M152" i="1"/>
  <c r="K174" i="1"/>
  <c r="AW174" i="1"/>
  <c r="AL190" i="1"/>
  <c r="AU188" i="1" s="1"/>
  <c r="M190" i="1"/>
  <c r="BI200" i="1"/>
  <c r="AC200" i="1" s="1"/>
  <c r="BC209" i="1"/>
  <c r="J240" i="1"/>
  <c r="J239" i="1" s="1"/>
  <c r="AW240" i="1"/>
  <c r="AX247" i="1"/>
  <c r="BC252" i="1"/>
  <c r="BH286" i="1"/>
  <c r="AF286" i="1" s="1"/>
  <c r="J286" i="1"/>
  <c r="BH307" i="1"/>
  <c r="AF307" i="1" s="1"/>
  <c r="AW307" i="1"/>
  <c r="J307" i="1"/>
  <c r="O325" i="1"/>
  <c r="BI326" i="1"/>
  <c r="AG326" i="1" s="1"/>
  <c r="M352" i="1"/>
  <c r="AL352" i="1"/>
  <c r="J30" i="1"/>
  <c r="BI39" i="1"/>
  <c r="AC39" i="1" s="1"/>
  <c r="M43" i="1"/>
  <c r="M42" i="1" s="1"/>
  <c r="K61" i="1"/>
  <c r="K103" i="1"/>
  <c r="BH125" i="1"/>
  <c r="AB125" i="1" s="1"/>
  <c r="AW134" i="1"/>
  <c r="BH145" i="1"/>
  <c r="J145" i="1"/>
  <c r="M166" i="1"/>
  <c r="BH168" i="1"/>
  <c r="J168" i="1"/>
  <c r="J156" i="1" s="1"/>
  <c r="AX174" i="1"/>
  <c r="AL184" i="1"/>
  <c r="M184" i="1"/>
  <c r="J200" i="1"/>
  <c r="AU208" i="1"/>
  <c r="J217" i="1"/>
  <c r="J216" i="1" s="1"/>
  <c r="K240" i="1"/>
  <c r="K239" i="1" s="1"/>
  <c r="M260" i="1"/>
  <c r="AL260" i="1"/>
  <c r="BI286" i="1"/>
  <c r="AG286" i="1" s="1"/>
  <c r="K286" i="1"/>
  <c r="AX307" i="1"/>
  <c r="BI307" i="1"/>
  <c r="AG307" i="1" s="1"/>
  <c r="K307" i="1"/>
  <c r="AW321" i="1"/>
  <c r="AW354" i="1"/>
  <c r="C21" i="3"/>
  <c r="BH14" i="1"/>
  <c r="AB14" i="1" s="1"/>
  <c r="K30" i="1"/>
  <c r="AW35" i="1"/>
  <c r="BF43" i="1"/>
  <c r="K121" i="1"/>
  <c r="BI125" i="1"/>
  <c r="AC125" i="1" s="1"/>
  <c r="J134" i="1"/>
  <c r="L156" i="1"/>
  <c r="M157" i="1"/>
  <c r="M156" i="1" s="1"/>
  <c r="AW159" i="1"/>
  <c r="AX180" i="1"/>
  <c r="AV180" i="1" s="1"/>
  <c r="M209" i="1"/>
  <c r="AW210" i="1"/>
  <c r="BH210" i="1"/>
  <c r="AB210" i="1" s="1"/>
  <c r="BH213" i="1"/>
  <c r="AB213" i="1" s="1"/>
  <c r="BI252" i="1"/>
  <c r="AG252" i="1" s="1"/>
  <c r="AW277" i="1"/>
  <c r="BC296" i="1"/>
  <c r="BH298" i="1"/>
  <c r="AF298" i="1" s="1"/>
  <c r="J298" i="1"/>
  <c r="AX328" i="1"/>
  <c r="AL340" i="1"/>
  <c r="L339" i="1"/>
  <c r="L338" i="1" s="1"/>
  <c r="K15" i="2" s="1"/>
  <c r="P15" i="2" s="1"/>
  <c r="AW342" i="1"/>
  <c r="J342" i="1"/>
  <c r="AX354" i="1"/>
  <c r="BI20" i="1"/>
  <c r="AC20" i="1" s="1"/>
  <c r="AL57" i="1"/>
  <c r="AU56" i="1" s="1"/>
  <c r="BC104" i="1"/>
  <c r="AV104" i="1"/>
  <c r="AW116" i="1"/>
  <c r="K134" i="1"/>
  <c r="AX138" i="1"/>
  <c r="BC138" i="1" s="1"/>
  <c r="K138" i="1"/>
  <c r="K137" i="1" s="1"/>
  <c r="AW145" i="1"/>
  <c r="O156" i="1"/>
  <c r="AW168" i="1"/>
  <c r="AW175" i="1"/>
  <c r="BH175" i="1"/>
  <c r="AB175" i="1" s="1"/>
  <c r="M192" i="1"/>
  <c r="AL192" i="1"/>
  <c r="AS193" i="1"/>
  <c r="AW220" i="1"/>
  <c r="BH220" i="1"/>
  <c r="AX254" i="1"/>
  <c r="BI254" i="1"/>
  <c r="AG254" i="1" s="1"/>
  <c r="K284" i="1"/>
  <c r="BH284" i="1"/>
  <c r="AF284" i="1" s="1"/>
  <c r="AW286" i="1"/>
  <c r="BI298" i="1"/>
  <c r="AG298" i="1" s="1"/>
  <c r="K298" i="1"/>
  <c r="AX298" i="1"/>
  <c r="J321" i="1"/>
  <c r="K328" i="1"/>
  <c r="M340" i="1"/>
  <c r="BI35" i="1"/>
  <c r="AC35" i="1" s="1"/>
  <c r="J41" i="1"/>
  <c r="L56" i="1"/>
  <c r="J81" i="1"/>
  <c r="BH81" i="1"/>
  <c r="AB81" i="1" s="1"/>
  <c r="AW81" i="1"/>
  <c r="J108" i="1"/>
  <c r="AX116" i="1"/>
  <c r="AX147" i="1"/>
  <c r="BC147" i="1" s="1"/>
  <c r="K147" i="1"/>
  <c r="K159" i="1"/>
  <c r="K168" i="1"/>
  <c r="AT193" i="1"/>
  <c r="AW214" i="1"/>
  <c r="BI220" i="1"/>
  <c r="K220" i="1"/>
  <c r="AX220" i="1"/>
  <c r="BI240" i="1"/>
  <c r="AC240" i="1" s="1"/>
  <c r="BC272" i="1"/>
  <c r="BI284" i="1"/>
  <c r="AG284" i="1" s="1"/>
  <c r="AX286" i="1"/>
  <c r="M304" i="1"/>
  <c r="L325" i="1"/>
  <c r="AL335" i="1"/>
  <c r="AU334" i="1" s="1"/>
  <c r="BF340" i="1"/>
  <c r="O339" i="1"/>
  <c r="O338" i="1" s="1"/>
  <c r="L15" i="2" s="1"/>
  <c r="C16" i="3"/>
  <c r="AT46" i="1"/>
  <c r="J90" i="1"/>
  <c r="BH90" i="1"/>
  <c r="AB90" i="1" s="1"/>
  <c r="AW98" i="1"/>
  <c r="J116" i="1"/>
  <c r="J115" i="1" s="1"/>
  <c r="AV127" i="1"/>
  <c r="J138" i="1"/>
  <c r="J137" i="1" s="1"/>
  <c r="M185" i="1"/>
  <c r="AL185" i="1"/>
  <c r="BH194" i="1"/>
  <c r="AB194" i="1" s="1"/>
  <c r="J193" i="1"/>
  <c r="AW194" i="1"/>
  <c r="M204" i="1"/>
  <c r="M203" i="1" s="1"/>
  <c r="AL204" i="1"/>
  <c r="AU203" i="1" s="1"/>
  <c r="L203" i="1"/>
  <c r="J214" i="1"/>
  <c r="J211" i="1" s="1"/>
  <c r="L219" i="1"/>
  <c r="BI247" i="1"/>
  <c r="AC247" i="1" s="1"/>
  <c r="BH293" i="1"/>
  <c r="AF293" i="1" s="1"/>
  <c r="J293" i="1"/>
  <c r="AW298" i="1"/>
  <c r="AX317" i="1"/>
  <c r="AV317" i="1" s="1"/>
  <c r="BI317" i="1"/>
  <c r="AG317" i="1" s="1"/>
  <c r="BI321" i="1"/>
  <c r="AG321" i="1" s="1"/>
  <c r="AX323" i="1"/>
  <c r="AV323" i="1" s="1"/>
  <c r="BI323" i="1"/>
  <c r="AG323" i="1" s="1"/>
  <c r="M328" i="1"/>
  <c r="M325" i="1" s="1"/>
  <c r="AW356" i="1"/>
  <c r="BH356" i="1"/>
  <c r="AB356" i="1" s="1"/>
  <c r="J356" i="1"/>
  <c r="BH75" i="1"/>
  <c r="AB75" i="1" s="1"/>
  <c r="AW75" i="1"/>
  <c r="J75" i="1"/>
  <c r="AX153" i="1"/>
  <c r="AV153" i="1" s="1"/>
  <c r="BI153" i="1"/>
  <c r="K157" i="1"/>
  <c r="AX157" i="1"/>
  <c r="AV157" i="1" s="1"/>
  <c r="AW190" i="1"/>
  <c r="BH190" i="1"/>
  <c r="AB190" i="1" s="1"/>
  <c r="BC259" i="1"/>
  <c r="BH265" i="1"/>
  <c r="AF265" i="1" s="1"/>
  <c r="O273" i="1"/>
  <c r="BF274" i="1"/>
  <c r="AX356" i="1"/>
  <c r="K356" i="1"/>
  <c r="BI356" i="1"/>
  <c r="AC356" i="1" s="1"/>
  <c r="C20" i="3"/>
  <c r="M39" i="1"/>
  <c r="O56" i="1"/>
  <c r="BF98" i="1"/>
  <c r="M121" i="1"/>
  <c r="K173" i="1"/>
  <c r="AX173" i="1"/>
  <c r="BC173" i="1" s="1"/>
  <c r="M180" i="1"/>
  <c r="M177" i="1" s="1"/>
  <c r="AL180" i="1"/>
  <c r="AT211" i="1"/>
  <c r="M225" i="1"/>
  <c r="AV275" i="1"/>
  <c r="M286" i="1"/>
  <c r="BC291" i="1"/>
  <c r="AV291" i="1"/>
  <c r="C27" i="3"/>
  <c r="J33" i="1"/>
  <c r="M35" i="1"/>
  <c r="BF57" i="1"/>
  <c r="J87" i="1"/>
  <c r="J118" i="1"/>
  <c r="J140" i="1"/>
  <c r="J139" i="1" s="1"/>
  <c r="M147" i="1"/>
  <c r="BC166" i="1"/>
  <c r="AV173" i="1"/>
  <c r="BI185" i="1"/>
  <c r="AC185" i="1" s="1"/>
  <c r="K185" i="1"/>
  <c r="K183" i="1" s="1"/>
  <c r="AX185" i="1"/>
  <c r="BC185" i="1" s="1"/>
  <c r="AT219" i="1"/>
  <c r="M252" i="1"/>
  <c r="AW260" i="1"/>
  <c r="J260" i="1"/>
  <c r="BH260" i="1"/>
  <c r="AF260" i="1" s="1"/>
  <c r="AW265" i="1"/>
  <c r="AX272" i="1"/>
  <c r="AV272" i="1" s="1"/>
  <c r="K312" i="1"/>
  <c r="AX312" i="1"/>
  <c r="C28" i="3"/>
  <c r="F28" i="3" s="1"/>
  <c r="K33" i="1"/>
  <c r="AW33" i="1"/>
  <c r="M68" i="1"/>
  <c r="K118" i="1"/>
  <c r="AW132" i="1"/>
  <c r="J132" i="1"/>
  <c r="AW135" i="1"/>
  <c r="K140" i="1"/>
  <c r="K139" i="1" s="1"/>
  <c r="BH150" i="1"/>
  <c r="J150" i="1"/>
  <c r="AX190" i="1"/>
  <c r="BI215" i="1"/>
  <c r="AC215" i="1" s="1"/>
  <c r="K215" i="1"/>
  <c r="J249" i="1"/>
  <c r="BC275" i="1"/>
  <c r="J302" i="1"/>
  <c r="AW302" i="1"/>
  <c r="L309" i="1"/>
  <c r="BH314" i="1"/>
  <c r="AF314" i="1" s="1"/>
  <c r="J314" i="1"/>
  <c r="AW314" i="1"/>
  <c r="BC329" i="1"/>
  <c r="BH348" i="1"/>
  <c r="AB348" i="1" s="1"/>
  <c r="AW348" i="1"/>
  <c r="AX145" i="1"/>
  <c r="BI145" i="1"/>
  <c r="M194" i="1"/>
  <c r="AL194" i="1"/>
  <c r="AU193" i="1" s="1"/>
  <c r="L193" i="1"/>
  <c r="BC204" i="1"/>
  <c r="BF210" i="1"/>
  <c r="AS325" i="1"/>
  <c r="AX287" i="1"/>
  <c r="BC287" i="1" s="1"/>
  <c r="K287" i="1"/>
  <c r="BH360" i="1"/>
  <c r="AB360" i="1" s="1"/>
  <c r="AW360" i="1"/>
  <c r="J360" i="1"/>
  <c r="BH362" i="1"/>
  <c r="AB362" i="1" s="1"/>
  <c r="AW362" i="1"/>
  <c r="J362" i="1"/>
  <c r="M200" i="1"/>
  <c r="AL200" i="1"/>
  <c r="BI217" i="1"/>
  <c r="K217" i="1"/>
  <c r="K216" i="1" s="1"/>
  <c r="O249" i="1"/>
  <c r="O233" i="1" s="1"/>
  <c r="L14" i="2" s="1"/>
  <c r="BF250" i="1"/>
  <c r="AT249" i="1"/>
  <c r="BH275" i="1"/>
  <c r="AF275" i="1" s="1"/>
  <c r="J275" i="1"/>
  <c r="M350" i="1"/>
  <c r="AX358" i="1"/>
  <c r="AV358" i="1" s="1"/>
  <c r="K358" i="1"/>
  <c r="K362" i="1"/>
  <c r="J366" i="1"/>
  <c r="J365" i="1" s="1"/>
  <c r="J364" i="1" s="1"/>
  <c r="I16" i="2" s="1"/>
  <c r="AW366" i="1"/>
  <c r="AU339" i="1" l="1"/>
  <c r="K339" i="1"/>
  <c r="K338" i="1" s="1"/>
  <c r="J15" i="2" s="1"/>
  <c r="J339" i="1"/>
  <c r="J338" i="1" s="1"/>
  <c r="I15" i="2" s="1"/>
  <c r="BC340" i="1"/>
  <c r="AV340" i="1"/>
  <c r="BC323" i="1"/>
  <c r="BC319" i="1"/>
  <c r="AV319" i="1"/>
  <c r="J273" i="1"/>
  <c r="AV287" i="1"/>
  <c r="BC282" i="1"/>
  <c r="AV282" i="1"/>
  <c r="K273" i="1"/>
  <c r="C19" i="3"/>
  <c r="C18" i="3"/>
  <c r="AV262" i="1"/>
  <c r="BC262" i="1"/>
  <c r="K249" i="1"/>
  <c r="L233" i="1"/>
  <c r="K14" i="2" s="1"/>
  <c r="P14" i="2" s="1"/>
  <c r="BC244" i="1"/>
  <c r="AV244" i="1"/>
  <c r="AV227" i="1"/>
  <c r="J226" i="1"/>
  <c r="J171" i="1" s="1"/>
  <c r="I13" i="2" s="1"/>
  <c r="K226" i="1"/>
  <c r="BC222" i="1"/>
  <c r="K219" i="1"/>
  <c r="AV212" i="1"/>
  <c r="M193" i="1"/>
  <c r="K156" i="1"/>
  <c r="M144" i="1"/>
  <c r="BC150" i="1"/>
  <c r="BC142" i="1"/>
  <c r="AV142" i="1"/>
  <c r="K115" i="1"/>
  <c r="BC121" i="1"/>
  <c r="J107" i="1"/>
  <c r="K97" i="1"/>
  <c r="AU97" i="1"/>
  <c r="AV101" i="1"/>
  <c r="J97" i="1"/>
  <c r="K84" i="1"/>
  <c r="BC87" i="1"/>
  <c r="M56" i="1"/>
  <c r="AV63" i="1"/>
  <c r="BC63" i="1"/>
  <c r="J56" i="1"/>
  <c r="C29" i="3"/>
  <c r="F29" i="3" s="1"/>
  <c r="BC57" i="1"/>
  <c r="AV57" i="1"/>
  <c r="BC37" i="1"/>
  <c r="J13" i="1"/>
  <c r="BC24" i="1"/>
  <c r="AV24" i="1"/>
  <c r="K13" i="1"/>
  <c r="C15" i="3"/>
  <c r="BC220" i="1"/>
  <c r="AV220" i="1"/>
  <c r="K325" i="1"/>
  <c r="BC152" i="1"/>
  <c r="AV152" i="1"/>
  <c r="AV251" i="1"/>
  <c r="BC251" i="1"/>
  <c r="BC229" i="1"/>
  <c r="AV229" i="1"/>
  <c r="AV256" i="1"/>
  <c r="BC256" i="1"/>
  <c r="AV342" i="1"/>
  <c r="BC342" i="1"/>
  <c r="BC53" i="1"/>
  <c r="AV53" i="1"/>
  <c r="M219" i="1"/>
  <c r="BC106" i="1"/>
  <c r="AV106" i="1"/>
  <c r="BC43" i="1"/>
  <c r="BC68" i="1"/>
  <c r="AV68" i="1"/>
  <c r="BC213" i="1"/>
  <c r="AV213" i="1"/>
  <c r="K122" i="1"/>
  <c r="J49" i="1"/>
  <c r="BC348" i="1"/>
  <c r="AV348" i="1"/>
  <c r="M188" i="1"/>
  <c r="J34" i="1"/>
  <c r="AV185" i="1"/>
  <c r="BC289" i="1"/>
  <c r="AV289" i="1"/>
  <c r="BC217" i="1"/>
  <c r="AV217" i="1"/>
  <c r="AV94" i="1"/>
  <c r="BC50" i="1"/>
  <c r="AV50" i="1"/>
  <c r="BC362" i="1"/>
  <c r="AV362" i="1"/>
  <c r="AV135" i="1"/>
  <c r="BC135" i="1"/>
  <c r="M339" i="1"/>
  <c r="M338" i="1" s="1"/>
  <c r="AV59" i="1"/>
  <c r="BC59" i="1"/>
  <c r="BC366" i="1"/>
  <c r="AV366" i="1"/>
  <c r="AV190" i="1"/>
  <c r="BC190" i="1"/>
  <c r="BC214" i="1"/>
  <c r="AV214" i="1"/>
  <c r="BC175" i="1"/>
  <c r="AV175" i="1"/>
  <c r="AV268" i="1"/>
  <c r="BC268" i="1"/>
  <c r="AV136" i="1"/>
  <c r="BC136" i="1"/>
  <c r="BC344" i="1"/>
  <c r="AV344" i="1"/>
  <c r="AV123" i="1"/>
  <c r="BC123" i="1"/>
  <c r="AV132" i="1"/>
  <c r="BC132" i="1"/>
  <c r="AV98" i="1"/>
  <c r="BC98" i="1"/>
  <c r="AV168" i="1"/>
  <c r="BC168" i="1"/>
  <c r="BC174" i="1"/>
  <c r="AV174" i="1"/>
  <c r="AV125" i="1"/>
  <c r="BC27" i="1"/>
  <c r="AV27" i="1"/>
  <c r="BC101" i="1"/>
  <c r="J122" i="1"/>
  <c r="AV360" i="1"/>
  <c r="BC360" i="1"/>
  <c r="AV314" i="1"/>
  <c r="BC314" i="1"/>
  <c r="BC298" i="1"/>
  <c r="AV298" i="1"/>
  <c r="BC35" i="1"/>
  <c r="AV35" i="1"/>
  <c r="M183" i="1"/>
  <c r="K34" i="1"/>
  <c r="L368" i="1"/>
  <c r="L12" i="1"/>
  <c r="K12" i="2" s="1"/>
  <c r="P12" i="2" s="1"/>
  <c r="BC225" i="1"/>
  <c r="AV225" i="1"/>
  <c r="BC299" i="1"/>
  <c r="K49" i="1"/>
  <c r="BC157" i="1"/>
  <c r="K172" i="1"/>
  <c r="BC145" i="1"/>
  <c r="AV145" i="1"/>
  <c r="BC277" i="1"/>
  <c r="AV277" i="1"/>
  <c r="AU183" i="1"/>
  <c r="M13" i="1"/>
  <c r="AV178" i="1"/>
  <c r="BC178" i="1"/>
  <c r="BC350" i="1"/>
  <c r="AV350" i="1"/>
  <c r="BC18" i="1"/>
  <c r="AV33" i="1"/>
  <c r="BC33" i="1"/>
  <c r="C14" i="3"/>
  <c r="BC180" i="1"/>
  <c r="BC39" i="1"/>
  <c r="AV39" i="1"/>
  <c r="K211" i="1"/>
  <c r="BC48" i="1"/>
  <c r="AV48" i="1"/>
  <c r="AV331" i="1"/>
  <c r="BC331" i="1"/>
  <c r="BC205" i="1"/>
  <c r="AV205" i="1"/>
  <c r="J309" i="1"/>
  <c r="M97" i="1"/>
  <c r="BC153" i="1"/>
  <c r="BC286" i="1"/>
  <c r="AV286" i="1"/>
  <c r="BC310" i="1"/>
  <c r="AV310" i="1"/>
  <c r="BC65" i="1"/>
  <c r="AV65" i="1"/>
  <c r="BC358" i="1"/>
  <c r="AV302" i="1"/>
  <c r="BC302" i="1"/>
  <c r="AV265" i="1"/>
  <c r="BC265" i="1"/>
  <c r="BC328" i="1"/>
  <c r="AV328" i="1"/>
  <c r="BC61" i="1"/>
  <c r="AV61" i="1"/>
  <c r="L171" i="1"/>
  <c r="K13" i="2" s="1"/>
  <c r="P13" i="2" s="1"/>
  <c r="AV163" i="1"/>
  <c r="BC163" i="1"/>
  <c r="BC194" i="1"/>
  <c r="AV194" i="1"/>
  <c r="AV81" i="1"/>
  <c r="BC81" i="1"/>
  <c r="BC134" i="1"/>
  <c r="AV134" i="1"/>
  <c r="BC247" i="1"/>
  <c r="AV247" i="1"/>
  <c r="J84" i="1"/>
  <c r="BC274" i="1"/>
  <c r="AV274" i="1"/>
  <c r="BC200" i="1"/>
  <c r="AV200" i="1"/>
  <c r="BC130" i="1"/>
  <c r="AV130" i="1"/>
  <c r="BC356" i="1"/>
  <c r="AV356" i="1"/>
  <c r="AV159" i="1"/>
  <c r="BC159" i="1"/>
  <c r="BC240" i="1"/>
  <c r="AV240" i="1"/>
  <c r="BC260" i="1"/>
  <c r="AV260" i="1"/>
  <c r="J70" i="1"/>
  <c r="K144" i="1"/>
  <c r="BC354" i="1"/>
  <c r="AV354" i="1"/>
  <c r="BC307" i="1"/>
  <c r="AV307" i="1"/>
  <c r="M211" i="1"/>
  <c r="AV14" i="1"/>
  <c r="BC14" i="1"/>
  <c r="K309" i="1"/>
  <c r="BC294" i="1"/>
  <c r="AV294" i="1"/>
  <c r="M273" i="1"/>
  <c r="M115" i="1"/>
  <c r="BC197" i="1"/>
  <c r="BC312" i="1"/>
  <c r="AV312" i="1"/>
  <c r="AV75" i="1"/>
  <c r="BC75" i="1"/>
  <c r="BC116" i="1"/>
  <c r="AV116" i="1"/>
  <c r="BC103" i="1"/>
  <c r="AV103" i="1"/>
  <c r="BC20" i="1"/>
  <c r="AV20" i="1"/>
  <c r="M122" i="1"/>
  <c r="AV138" i="1"/>
  <c r="AV210" i="1"/>
  <c r="BC210" i="1"/>
  <c r="BC321" i="1"/>
  <c r="AV321" i="1"/>
  <c r="BC78" i="1"/>
  <c r="AV78" i="1"/>
  <c r="BC332" i="1"/>
  <c r="AV332" i="1"/>
  <c r="BC120" i="1"/>
  <c r="AV120" i="1"/>
  <c r="M249" i="1"/>
  <c r="BC155" i="1"/>
  <c r="AV155" i="1"/>
  <c r="BC317" i="1"/>
  <c r="M34" i="1"/>
  <c r="AV254" i="1"/>
  <c r="BC254" i="1"/>
  <c r="M208" i="1"/>
  <c r="J144" i="1"/>
  <c r="J325" i="1"/>
  <c r="AV284" i="1"/>
  <c r="BC284" i="1"/>
  <c r="BC184" i="1"/>
  <c r="AV184" i="1"/>
  <c r="BC85" i="1"/>
  <c r="AV85" i="1"/>
  <c r="BC189" i="1"/>
  <c r="AV189" i="1"/>
  <c r="BC346" i="1"/>
  <c r="AV346" i="1"/>
  <c r="BC112" i="1"/>
  <c r="AV112" i="1"/>
  <c r="J233" i="1" l="1"/>
  <c r="I14" i="2" s="1"/>
  <c r="K233" i="1"/>
  <c r="J14" i="2" s="1"/>
  <c r="M171" i="1"/>
  <c r="K17" i="2"/>
  <c r="J12" i="1"/>
  <c r="I12" i="2" s="1"/>
  <c r="I28" i="3"/>
  <c r="I29" i="3" s="1"/>
  <c r="K12" i="1"/>
  <c r="J12" i="2" s="1"/>
  <c r="C22" i="3"/>
  <c r="M368" i="1"/>
  <c r="M12" i="1"/>
  <c r="M233" i="1"/>
  <c r="K171" i="1"/>
  <c r="J13" i="2" s="1"/>
</calcChain>
</file>

<file path=xl/sharedStrings.xml><?xml version="1.0" encoding="utf-8"?>
<sst xmlns="http://schemas.openxmlformats.org/spreadsheetml/2006/main" count="3052" uniqueCount="758">
  <si>
    <t>Stavební rozpočet</t>
  </si>
  <si>
    <t>Název stavby:</t>
  </si>
  <si>
    <t>Rekonstrukce, úpravy a rozš. stáv. zpev. i nezpev. ploch k parkování - část sídliště U Hřbitova</t>
  </si>
  <si>
    <t>Doba výstavby:</t>
  </si>
  <si>
    <t xml:space="preserve"> </t>
  </si>
  <si>
    <t>Objednatel:</t>
  </si>
  <si>
    <t>Statutární město Jihlava</t>
  </si>
  <si>
    <t>Druh stavby:</t>
  </si>
  <si>
    <t>SO 111.1 - Rozš.vozovky před BD U Hřbitova 2-10, SO 111.2 Parkoviště u BD 2-10, SO 401 VO</t>
  </si>
  <si>
    <t>Začátek výstavby:</t>
  </si>
  <si>
    <t>Projektant:</t>
  </si>
  <si>
    <t> </t>
  </si>
  <si>
    <t>Lokalita:</t>
  </si>
  <si>
    <t>Jihlava</t>
  </si>
  <si>
    <t>Konec výstavby:</t>
  </si>
  <si>
    <t>Zhotovitel:</t>
  </si>
  <si>
    <t>dle výběrového řízení</t>
  </si>
  <si>
    <t>JKSO:</t>
  </si>
  <si>
    <t>Zpracováno dne:</t>
  </si>
  <si>
    <t>09.09.2024</t>
  </si>
  <si>
    <t>Zpracoval:</t>
  </si>
  <si>
    <t>Ing. Petr Kristýnek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</si>
  <si>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</si>
  <si>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</si>
  <si>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</si>
  <si>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</si>
  <si>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</si>
  <si>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</si>
  <si>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</si>
  <si>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</si>
  <si>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</si>
  <si>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</si>
  <si>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</si>
  <si>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</si>
  <si>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</si>
  <si>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</si>
  <si>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</si>
  <si>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</si>
  <si>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</si>
  <si>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</si>
  <si>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</si>
  <si>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</si>
  <si>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</si>
  <si>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</si>
  <si>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</si>
  <si>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</si>
  <si>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</si>
  <si>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</si>
  <si>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</si>
  <si>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</si>
  <si>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</si>
  <si>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</si>
  <si>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</si>
  <si>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</si>
  <si>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</si>
  <si>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</si>
  <si>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</si>
  <si>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111.1</t>
  </si>
  <si>
    <t>Rozšíření vozovky před BD U Hřbitova 2-10</t>
  </si>
  <si>
    <t>11</t>
  </si>
  <si>
    <t>Přípravné a přidružené práce</t>
  </si>
  <si>
    <t>1</t>
  </si>
  <si>
    <t>111212131R00</t>
  </si>
  <si>
    <t>Odstranění dřevin výš.nad 1m, rovina, s pařezem</t>
  </si>
  <si>
    <t>m2</t>
  </si>
  <si>
    <t>21</t>
  </si>
  <si>
    <t>RTS I / 2024</t>
  </si>
  <si>
    <t>11_</t>
  </si>
  <si>
    <t>111.1_1_</t>
  </si>
  <si>
    <t>111.1_</t>
  </si>
  <si>
    <t>15*2+4*5</t>
  </si>
  <si>
    <t>2</t>
  </si>
  <si>
    <t>113106121R00</t>
  </si>
  <si>
    <t>Rozebrání dlažeb z betonových dlaždic na sucho</t>
  </si>
  <si>
    <t>5,0+1,0*4</t>
  </si>
  <si>
    <t>3</t>
  </si>
  <si>
    <t>113106231R00</t>
  </si>
  <si>
    <t>Rozebrání dlažeb ze zámkové dlažby v kamenivu</t>
  </si>
  <si>
    <t>4,8*4+5,2+8,0</t>
  </si>
  <si>
    <t>4</t>
  </si>
  <si>
    <t>113107220RAE</t>
  </si>
  <si>
    <t>Odstranění asfaltobetonové vozovky, pl. do 50 m2</t>
  </si>
  <si>
    <t>Varianta:</t>
  </si>
  <si>
    <t>včetně naložení a odvozu na skládku do 10 km</t>
  </si>
  <si>
    <t>3*4,0</t>
  </si>
  <si>
    <t>Poznámka:</t>
  </si>
  <si>
    <t>v místě uložení teplovodních chrániček</t>
  </si>
  <si>
    <t>5</t>
  </si>
  <si>
    <t>113107515R00</t>
  </si>
  <si>
    <t>Odstranění podkladu pl. do 50 m2,kam.drcené tl.15 cm</t>
  </si>
  <si>
    <t>vjezd k trafu</t>
  </si>
  <si>
    <t>17,5*0,3</t>
  </si>
  <si>
    <t>6</t>
  </si>
  <si>
    <t>113108320R00</t>
  </si>
  <si>
    <t>Odstranění asfaltové vrstvy pl. do 50 m2, tl.20 cm</t>
  </si>
  <si>
    <t>7</t>
  </si>
  <si>
    <t>113202111R00</t>
  </si>
  <si>
    <t>Vytrhání obrub obrubníků silničních</t>
  </si>
  <si>
    <t>m</t>
  </si>
  <si>
    <t>betonové a kamenné obrubníky</t>
  </si>
  <si>
    <t>26,3+97,0+143,5+4,0*2*4+3,0+2,5+0,8*2*4+4,0+3,5+2,0+1,4*3</t>
  </si>
  <si>
    <t>8</t>
  </si>
  <si>
    <t>119001422R00</t>
  </si>
  <si>
    <t>Dočasné zajištění kabelů - v počtu 3 - 6 kabelů</t>
  </si>
  <si>
    <t>12</t>
  </si>
  <si>
    <t>Odkopávky a prokopávky</t>
  </si>
  <si>
    <t>9</t>
  </si>
  <si>
    <t>120001101R00</t>
  </si>
  <si>
    <t>Příplatek za ztížení vykopávky v blízkosti vedení</t>
  </si>
  <si>
    <t>m3</t>
  </si>
  <si>
    <t>12_</t>
  </si>
  <si>
    <t>81,0*0,25</t>
  </si>
  <si>
    <t>10</t>
  </si>
  <si>
    <t>121101101R00</t>
  </si>
  <si>
    <t>Sejmutí ornice s přemístěním do 50 m</t>
  </si>
  <si>
    <t>(150*1,5+90,0*1,0)*0,15</t>
  </si>
  <si>
    <t>122202201R00</t>
  </si>
  <si>
    <t>Odkopávky pro silnice v hor. 3 do 100 m3</t>
  </si>
  <si>
    <t>81,0*0,25+69,0*0,2+24,5*0,2</t>
  </si>
  <si>
    <t>122202209R00</t>
  </si>
  <si>
    <t>Příplatek za lepivost - odkop. pro silnice v hor.3</t>
  </si>
  <si>
    <t>13</t>
  </si>
  <si>
    <t>Hloubené vykopávky</t>
  </si>
  <si>
    <t>130901121RT1</t>
  </si>
  <si>
    <t>Bourání konstrukcí z betonu prostého ve vykopávk.</t>
  </si>
  <si>
    <t>13_</t>
  </si>
  <si>
    <t>pneumatickým kladivem, vybourání 2 vpustí</t>
  </si>
  <si>
    <t>0,6*0,6*2,5*2</t>
  </si>
  <si>
    <t>16</t>
  </si>
  <si>
    <t>Přemístění výkopku</t>
  </si>
  <si>
    <t>14</t>
  </si>
  <si>
    <t>162301421R00</t>
  </si>
  <si>
    <t>Vodorovné přemístění pařezů  D 30 cm do 5000 m</t>
  </si>
  <si>
    <t>kus</t>
  </si>
  <si>
    <t>16_</t>
  </si>
  <si>
    <t>15</t>
  </si>
  <si>
    <t>162301501R00</t>
  </si>
  <si>
    <t>Vodorovné přemístění dřevin do  5000 m</t>
  </si>
  <si>
    <t>17</t>
  </si>
  <si>
    <t>Konstrukce ze zemin</t>
  </si>
  <si>
    <t>171101104R00</t>
  </si>
  <si>
    <t>Uložení sypaniny do násypů zhutněných na 102% PS</t>
  </si>
  <si>
    <t>17_</t>
  </si>
  <si>
    <t>svahy</t>
  </si>
  <si>
    <t>150*0,21</t>
  </si>
  <si>
    <t>174101102R00</t>
  </si>
  <si>
    <t>Zásyp ruční se zhutněním</t>
  </si>
  <si>
    <t>zásyp kolem nových obrubníků</t>
  </si>
  <si>
    <t>(24,0+115,0)*0,3*0,2</t>
  </si>
  <si>
    <t>18</t>
  </si>
  <si>
    <t>Povrchové úpravy terénu</t>
  </si>
  <si>
    <t>180402111R00</t>
  </si>
  <si>
    <t>Založení trávníku parkového výsevem v rovině</t>
  </si>
  <si>
    <t>18_</t>
  </si>
  <si>
    <t>75*1,2</t>
  </si>
  <si>
    <t>19</t>
  </si>
  <si>
    <t>180402113R00</t>
  </si>
  <si>
    <t>Založení trávníku parkového výsevem svah do 1:1</t>
  </si>
  <si>
    <t>150*1,5</t>
  </si>
  <si>
    <t>20</t>
  </si>
  <si>
    <t>181101102R00</t>
  </si>
  <si>
    <t>Úprava pláně v zářezech v hor. 1-4, se zhutněním</t>
  </si>
  <si>
    <t>(24,5+62,3+68,7+6,0*5+8,0+5,0)*1,05</t>
  </si>
  <si>
    <t>181301112R00</t>
  </si>
  <si>
    <t>Rozprostření ornice, rovina, tl.10-15 cm,nad 500m2</t>
  </si>
  <si>
    <t>22</t>
  </si>
  <si>
    <t>182101101R00</t>
  </si>
  <si>
    <t>Svahování v zářezech v hor. 1 - 4</t>
  </si>
  <si>
    <t xml:space="preserve">
</t>
  </si>
  <si>
    <t>23</t>
  </si>
  <si>
    <t>182301122R00</t>
  </si>
  <si>
    <t>Rozprostření ornice, svah, tl. 10-15 cm, do 500 m2</t>
  </si>
  <si>
    <t>56</t>
  </si>
  <si>
    <t>Podkladní vrstvy komunikací a zpevněných ploch</t>
  </si>
  <si>
    <t>24</t>
  </si>
  <si>
    <t>564113505R00</t>
  </si>
  <si>
    <t>Podklad z asf.recyklátu fr. 0-32 po zhutn.tl.5 cm</t>
  </si>
  <si>
    <t>56_</t>
  </si>
  <si>
    <t>111.1_5_</t>
  </si>
  <si>
    <t>rozšíření vozovky</t>
  </si>
  <si>
    <t>(24,5+63,3+68,7)*2*1,05</t>
  </si>
  <si>
    <t>materiál bude dodán investorem z jeho skladových zásob - skládka Pístov do 5 km</t>
  </si>
  <si>
    <t>25</t>
  </si>
  <si>
    <t>564721111R00</t>
  </si>
  <si>
    <t>Podklad z kameniva drceného vel.16-32 mm,tl. 8 cm</t>
  </si>
  <si>
    <t>podklad lože pod siln. a chod. obrubníky</t>
  </si>
  <si>
    <t>(24,0+265,0)*0,5</t>
  </si>
  <si>
    <t>26</t>
  </si>
  <si>
    <t>564811111R00</t>
  </si>
  <si>
    <t>Podklad ze štěrkodrti po zhutnění tloušťky 5 cm</t>
  </si>
  <si>
    <t>vyrovnání chodníků</t>
  </si>
  <si>
    <t>5,0+6,0*4+6,2+8,0</t>
  </si>
  <si>
    <t>27</t>
  </si>
  <si>
    <t>564861111RT2</t>
  </si>
  <si>
    <t>Podklad ze štěrkodrti po zhutnění tloušťky 20 cm</t>
  </si>
  <si>
    <t>vozovka</t>
  </si>
  <si>
    <t>52,3+68,7+24,5</t>
  </si>
  <si>
    <t>57</t>
  </si>
  <si>
    <t>Kryty pozemních komunikací, letišť a ploch z kameniva nebo živičné</t>
  </si>
  <si>
    <t>28</t>
  </si>
  <si>
    <t>573211112R00</t>
  </si>
  <si>
    <t>Postřik živičný spojovací z modif. asfaltu 0,3 kg/m2</t>
  </si>
  <si>
    <t>RTS I / 2022</t>
  </si>
  <si>
    <t>57_</t>
  </si>
  <si>
    <t>689,7</t>
  </si>
  <si>
    <t>29</t>
  </si>
  <si>
    <t>577000001RA0</t>
  </si>
  <si>
    <t>Komunikace s asfaltobeton. krytem D1-N-1-III-PII</t>
  </si>
  <si>
    <t>nová vozovka po uložení chrániček pro teplovody
Skladba: ACO 11+  40 mm ACL 16+  60 mm ACP 16+  50 mm MZK  170 mm ŠDA  150 mm Celkem  470 mm</t>
  </si>
  <si>
    <t>30</t>
  </si>
  <si>
    <t>577000015RAB</t>
  </si>
  <si>
    <t>Komunikace s asfaltobeton. krytem D1-N-2-V-PII</t>
  </si>
  <si>
    <t>bez výkopových prací</t>
  </si>
  <si>
    <t>Doplnění  stávající vozovky šířky 30 cm.u vjezdu k trafu
Skladba TP 170  "Navrhování vozovek pozemních komunikací": ACO 11  40 mm ACP 16+  70 mm ŠDA  200 mm Celkem  310 mm</t>
  </si>
  <si>
    <t>31</t>
  </si>
  <si>
    <t>577142112RT2</t>
  </si>
  <si>
    <t>Beton asfaltový ACO 11+, ACO 16+, nad 3 m, tl.5 cm</t>
  </si>
  <si>
    <t>plochy 201-1000 m2</t>
  </si>
  <si>
    <t>24,5+63,3+68,7+158,5+193,2+181,5</t>
  </si>
  <si>
    <t>59</t>
  </si>
  <si>
    <t>Kryty pozemních komunikací, letišť a ploch dlážděných (předlažby)</t>
  </si>
  <si>
    <t>32</t>
  </si>
  <si>
    <t>596215021R00</t>
  </si>
  <si>
    <t>Kladení zámkové dlažby tl. 6 cm do drtě tl. 4 cm</t>
  </si>
  <si>
    <t>59_</t>
  </si>
  <si>
    <t>předlažba chodníků</t>
  </si>
  <si>
    <t>4,5+4,9*3+5,2</t>
  </si>
  <si>
    <t>33</t>
  </si>
  <si>
    <t>596215040R00</t>
  </si>
  <si>
    <t>Kladení zámkové dlažby tl. 8 cm do drtě tl. 4 cm</t>
  </si>
  <si>
    <t>předlažba kont. stání</t>
  </si>
  <si>
    <t>34</t>
  </si>
  <si>
    <t>596291113R00</t>
  </si>
  <si>
    <t>Řezání zámkové dlažby tl. 80 mm</t>
  </si>
  <si>
    <t>35</t>
  </si>
  <si>
    <t>596715021R00</t>
  </si>
  <si>
    <t>Kladení vodicí linie z dlažby tl.6 cm, drť tl.4 cm</t>
  </si>
  <si>
    <t>1,0*6</t>
  </si>
  <si>
    <t>36</t>
  </si>
  <si>
    <t>596811111R00</t>
  </si>
  <si>
    <t>Kladení dlaždic kom.pro pěší, lože z kameniva těž.</t>
  </si>
  <si>
    <t>83</t>
  </si>
  <si>
    <t>Potrubí z trub plastových</t>
  </si>
  <si>
    <t>37</t>
  </si>
  <si>
    <t>831350012RAA</t>
  </si>
  <si>
    <t>Kanalizace z trub PVC hrdlových D 160 mm</t>
  </si>
  <si>
    <t>83_</t>
  </si>
  <si>
    <t>111.1_8_</t>
  </si>
  <si>
    <t>hloubka 2,0 m, včetně tvarovek</t>
  </si>
  <si>
    <t>2,0*2</t>
  </si>
  <si>
    <t>kompletní přípojka nové vpusti - napojení na stávající potrubí</t>
  </si>
  <si>
    <t>38</t>
  </si>
  <si>
    <t>831350113RAD</t>
  </si>
  <si>
    <t>Chránička pro teplovodní potrubí z trub PVC, D 160 mm</t>
  </si>
  <si>
    <t>rýha šířky 0,9 m, hloubky 1,5 m</t>
  </si>
  <si>
    <t>Uložení chrániček pro teplovodní potrubí ve vozovce
Položka obsahuje: vyhloubení rýhy, svislé přemístění, naložení přebytku po zásypu na dopravní prostředek a odvoz do 10 km, lože pod potrubí z kameniva 4-8 mm, dodávku a montáž potrubí z trub PVC hrdlových vnějšího průměru podle popisu, obsyp potrubí z kameniva 4-8 mm, dosyp rýhy výkopkem se zhutněním</t>
  </si>
  <si>
    <t>89</t>
  </si>
  <si>
    <t>Ostatní konstrukce a práce na trubním vedení</t>
  </si>
  <si>
    <t>39</t>
  </si>
  <si>
    <t>895941311RT2</t>
  </si>
  <si>
    <t>Zřízení vpusti uliční z dílců typ UVB - 50</t>
  </si>
  <si>
    <t>89_</t>
  </si>
  <si>
    <t>včetně dodávky dílců pro uliční vpusti TBV</t>
  </si>
  <si>
    <t>40</t>
  </si>
  <si>
    <t>899203111R00</t>
  </si>
  <si>
    <t>Osazení mříží litinových s rámem do 150kg</t>
  </si>
  <si>
    <t>použít stávající mříže</t>
  </si>
  <si>
    <t>41</t>
  </si>
  <si>
    <t>899231111R00</t>
  </si>
  <si>
    <t>Výšková úprava vstupu do 20 cm, zvýšení mříže</t>
  </si>
  <si>
    <t>42</t>
  </si>
  <si>
    <t>899331111R00</t>
  </si>
  <si>
    <t>Výšková úprava vstupu do 20 cm, zvýšení poklopu</t>
  </si>
  <si>
    <t>91</t>
  </si>
  <si>
    <t>Doplňující konstrukce a práce na pozemních komunikacích a zpevněných plochách</t>
  </si>
  <si>
    <t>43</t>
  </si>
  <si>
    <t>914001111R00</t>
  </si>
  <si>
    <t>Osazení svislé doprav.značky a sloupku, bet.základ</t>
  </si>
  <si>
    <t>91_</t>
  </si>
  <si>
    <t>111.1_9_</t>
  </si>
  <si>
    <t>přemístění stáv. značek</t>
  </si>
  <si>
    <t>44</t>
  </si>
  <si>
    <t>916561111R00</t>
  </si>
  <si>
    <t>Osazení záhon.obrubníků do lože z C 16/20 s opěrou</t>
  </si>
  <si>
    <t>3,0*2*4</t>
  </si>
  <si>
    <t>45</t>
  </si>
  <si>
    <t>917461111R00</t>
  </si>
  <si>
    <t>Osaz. stoj. obrub. kam. s opěrou, lože z C 16/20 Nxf1</t>
  </si>
  <si>
    <t>9,0+99,0+3,0+2,5+2,0+3,6+2,0+144,0</t>
  </si>
  <si>
    <t>u zelené plochy střídání kamenných krajníků - ob jeden snížený krajník pro odvod vody</t>
  </si>
  <si>
    <t>46</t>
  </si>
  <si>
    <t>919726212R00</t>
  </si>
  <si>
    <t>Těsnění spár krytu vozovek zálivkou za studena, za tepla</t>
  </si>
  <si>
    <t>trvale pružný asf. tmel s emulzí</t>
  </si>
  <si>
    <t>47</t>
  </si>
  <si>
    <t>919735114R00</t>
  </si>
  <si>
    <t>Řezání stávajícího živičného krytu tl. 15 - 20 cm</t>
  </si>
  <si>
    <t>4,0+17,5+4,0</t>
  </si>
  <si>
    <t>48</t>
  </si>
  <si>
    <t>938908411R00</t>
  </si>
  <si>
    <t>Očištění povrchu krytu saponátovým roztokem</t>
  </si>
  <si>
    <t>49</t>
  </si>
  <si>
    <t>979024441R00</t>
  </si>
  <si>
    <t>Očištění vybour. obrubníků všech loží a výplní</t>
  </si>
  <si>
    <t>50</t>
  </si>
  <si>
    <t>979054441R00</t>
  </si>
  <si>
    <t>Očištění vybour. dlaždic s výplní kamen. těženým</t>
  </si>
  <si>
    <t>96</t>
  </si>
  <si>
    <t>Bourání konstrukcí</t>
  </si>
  <si>
    <t>51</t>
  </si>
  <si>
    <t>966006132R00</t>
  </si>
  <si>
    <t>Odstranění doprav.značek se sloupky, s bet.patkami</t>
  </si>
  <si>
    <t>96_</t>
  </si>
  <si>
    <t>97</t>
  </si>
  <si>
    <t>Prorážení otvorů a ostatní bourací práce</t>
  </si>
  <si>
    <t>52</t>
  </si>
  <si>
    <t>97010-1001</t>
  </si>
  <si>
    <t>Vybourání betonových palisád</t>
  </si>
  <si>
    <t>RTS I / 2023</t>
  </si>
  <si>
    <t>97_</t>
  </si>
  <si>
    <t>H22</t>
  </si>
  <si>
    <t>Komunikace pozemní a letiště</t>
  </si>
  <si>
    <t>53</t>
  </si>
  <si>
    <t>998225111R00</t>
  </si>
  <si>
    <t>Přesun hmot, pozemní komunikace, kryt živičný</t>
  </si>
  <si>
    <t>t</t>
  </si>
  <si>
    <t>H22_</t>
  </si>
  <si>
    <t>439,8-91,4</t>
  </si>
  <si>
    <t>S</t>
  </si>
  <si>
    <t>Přesuny sutí</t>
  </si>
  <si>
    <t>54</t>
  </si>
  <si>
    <t>979081111R00</t>
  </si>
  <si>
    <t>Odvoz suti a vybour. hmot na skládku do 1 km</t>
  </si>
  <si>
    <t>S_</t>
  </si>
  <si>
    <t>115,0-20,6-3,0</t>
  </si>
  <si>
    <t>55</t>
  </si>
  <si>
    <t>979081121R00</t>
  </si>
  <si>
    <t>Příplatek k odvozu za každý další 1 km</t>
  </si>
  <si>
    <t>91,4*9</t>
  </si>
  <si>
    <t>odvoz suti do 10 km - k recyklaci</t>
  </si>
  <si>
    <t>979084216R00</t>
  </si>
  <si>
    <t>Vodorovná doprava vybour. hmot po suchu do 5 km</t>
  </si>
  <si>
    <t>odvoz přebytečných kamenných krajníků do skladu investora</t>
  </si>
  <si>
    <t>979084219R00</t>
  </si>
  <si>
    <t>Příplatek k dopravě vybour.hmot za dalších 5 km</t>
  </si>
  <si>
    <t>58</t>
  </si>
  <si>
    <t>979086213R00</t>
  </si>
  <si>
    <t>Nakládání vybouraných hmot na dopravní prostředek</t>
  </si>
  <si>
    <t>kam. krajníky do skladu investora</t>
  </si>
  <si>
    <t>979999999R00</t>
  </si>
  <si>
    <t>Poplatek za recyklaci suti - beton, živice, štěrk</t>
  </si>
  <si>
    <t>M</t>
  </si>
  <si>
    <t>Ostatní materiál</t>
  </si>
  <si>
    <t>60</t>
  </si>
  <si>
    <t>00572420</t>
  </si>
  <si>
    <t>Směs travní parková III. dekorativní PROFI</t>
  </si>
  <si>
    <t>kg</t>
  </si>
  <si>
    <t>0</t>
  </si>
  <si>
    <t>Z99999_</t>
  </si>
  <si>
    <t>111.1_Z_</t>
  </si>
  <si>
    <t>(90+225)*0,03</t>
  </si>
  <si>
    <t>61</t>
  </si>
  <si>
    <t>58380211</t>
  </si>
  <si>
    <t>Krajník silniční KS 3, rozměr 130 x 200 x 300 až 800 mm</t>
  </si>
  <si>
    <t>,</t>
  </si>
  <si>
    <t>265,1</t>
  </si>
  <si>
    <t>;ztratné 5%; 13,255</t>
  </si>
  <si>
    <t>budou použity vybourané krajníky, přebytečné budou odvezeny na skládku investora,
položku ocenit nulovou cenou!!</t>
  </si>
  <si>
    <t>62</t>
  </si>
  <si>
    <t>59217331</t>
  </si>
  <si>
    <t>Obrubník zahradní ABO 12-20 v. 200 x 50 x 1000 mm přírodní</t>
  </si>
  <si>
    <t>24,0</t>
  </si>
  <si>
    <t>;ztratné 2%; 0,48</t>
  </si>
  <si>
    <t>63</t>
  </si>
  <si>
    <t>59245267</t>
  </si>
  <si>
    <t>Dlažba beton. červená pro nevidomé 200 x 100 x 60 mm</t>
  </si>
  <si>
    <t>6,0</t>
  </si>
  <si>
    <t>64</t>
  </si>
  <si>
    <t>592453320</t>
  </si>
  <si>
    <t>Dlaždice betonová 300 x 300 x 40 mm hladká standard šedá</t>
  </si>
  <si>
    <t>4,0</t>
  </si>
  <si>
    <t>;ztratné 5%; 0,2</t>
  </si>
  <si>
    <t>111.2</t>
  </si>
  <si>
    <t>Parkoviště u  BD U Hřbitova 2-10</t>
  </si>
  <si>
    <t>65</t>
  </si>
  <si>
    <t>113107625R00</t>
  </si>
  <si>
    <t>Odstranění podkladu nad 50 m2,kam.drcené tl.25 cm</t>
  </si>
  <si>
    <t>111.2_1_</t>
  </si>
  <si>
    <t>111.2_</t>
  </si>
  <si>
    <t>66</t>
  </si>
  <si>
    <t>113109610R00</t>
  </si>
  <si>
    <t>Odstranění krytu pl.nad 50m2,bet.recyklát ,tl.10cm</t>
  </si>
  <si>
    <t>67</t>
  </si>
  <si>
    <t>kamenné obrubníky</t>
  </si>
  <si>
    <t>68</t>
  </si>
  <si>
    <t>30*1,5*0,15</t>
  </si>
  <si>
    <t>69</t>
  </si>
  <si>
    <t>30,0*0,30*0,3</t>
  </si>
  <si>
    <t>70</t>
  </si>
  <si>
    <t>71</t>
  </si>
  <si>
    <t>72</t>
  </si>
  <si>
    <t>30,0*0,2*0,3</t>
  </si>
  <si>
    <t>73</t>
  </si>
  <si>
    <t>74</t>
  </si>
  <si>
    <t>167,0*1,05</t>
  </si>
  <si>
    <t>75</t>
  </si>
  <si>
    <t>76</t>
  </si>
  <si>
    <t>111.2_5_</t>
  </si>
  <si>
    <t>(167,0+25,0*0,3)*2</t>
  </si>
  <si>
    <t>77</t>
  </si>
  <si>
    <t>podklad lože pod siln. obrubníky</t>
  </si>
  <si>
    <t>38,0*0,5</t>
  </si>
  <si>
    <t>78</t>
  </si>
  <si>
    <t>vozovka parkoviště</t>
  </si>
  <si>
    <t>167,0+25,0*0,3</t>
  </si>
  <si>
    <t>79</t>
  </si>
  <si>
    <t>80</t>
  </si>
  <si>
    <t>577142112RT3</t>
  </si>
  <si>
    <t>Beton asfaltový ACO 11+,  nad 3 m, tl.5 cm</t>
  </si>
  <si>
    <t>plochy 101-200 m2</t>
  </si>
  <si>
    <t>81</t>
  </si>
  <si>
    <t>111.2_8_</t>
  </si>
  <si>
    <t>82</t>
  </si>
  <si>
    <t>111.2_9_</t>
  </si>
  <si>
    <t>84</t>
  </si>
  <si>
    <t>85</t>
  </si>
  <si>
    <t>86</t>
  </si>
  <si>
    <t>87</t>
  </si>
  <si>
    <t>288,9-137,8</t>
  </si>
  <si>
    <t>88</t>
  </si>
  <si>
    <t>139,9-2,1</t>
  </si>
  <si>
    <t>137,8*9</t>
  </si>
  <si>
    <t>90</t>
  </si>
  <si>
    <t>111.2_Z_</t>
  </si>
  <si>
    <t>45,0*0,03</t>
  </si>
  <si>
    <t>92</t>
  </si>
  <si>
    <t>;ztratné 5%; 1,9</t>
  </si>
  <si>
    <t>materiál bude dodán investorem z jeho skladových zásob,
položku ocenit nulovou cenou!!</t>
  </si>
  <si>
    <t>401</t>
  </si>
  <si>
    <t>Přeložka kabelů a stožárů VO u BD U Hřbitova 2-10</t>
  </si>
  <si>
    <t>93</t>
  </si>
  <si>
    <t>401_1_</t>
  </si>
  <si>
    <t>401_</t>
  </si>
  <si>
    <t>4*0,5</t>
  </si>
  <si>
    <t>překop vozovky pro kabel VO</t>
  </si>
  <si>
    <t>94</t>
  </si>
  <si>
    <t>401_5_</t>
  </si>
  <si>
    <t>nová vozovka po uložení kabelu VO ve vozovce
Skladba: ACO 11+  40 mm ACL 16+  60 mm ACP 16+  50 mm MZK  170 mm ŠDA  150 mm Celkem  470 mm</t>
  </si>
  <si>
    <t>Hodinové zúčtovací sazby (HZS)</t>
  </si>
  <si>
    <t>95</t>
  </si>
  <si>
    <t>900      R24</t>
  </si>
  <si>
    <t>HZS</t>
  </si>
  <si>
    <t>h</t>
  </si>
  <si>
    <t>90_</t>
  </si>
  <si>
    <t>401_9_</t>
  </si>
  <si>
    <t>elektromontér v tarifní třídě 7</t>
  </si>
  <si>
    <t>Připojení nového vedení na stávající rozvody VO</t>
  </si>
  <si>
    <t>904      R00</t>
  </si>
  <si>
    <t>HZS - zkousky v ramci montaz.praci</t>
  </si>
  <si>
    <t>PROVEDENI REVIZNICH ZKOUSEK DLE CSN 33 2000-6 ed.2
Revizni technik - výchozí revize, vypracování revizní zprávy</t>
  </si>
  <si>
    <t>M21</t>
  </si>
  <si>
    <t>Elektromontáže</t>
  </si>
  <si>
    <t>210 0004</t>
  </si>
  <si>
    <t>Demontáž sadového stožáru vč. svítidla a základu</t>
  </si>
  <si>
    <t>M21_</t>
  </si>
  <si>
    <t>98</t>
  </si>
  <si>
    <t>210100259R00</t>
  </si>
  <si>
    <t>Ukončení celoplast. Cu kabelů do 5x10 mm2</t>
  </si>
  <si>
    <t>99</t>
  </si>
  <si>
    <t>210120001R00</t>
  </si>
  <si>
    <t>Pojistka závitová do 500V E 27 do 25A</t>
  </si>
  <si>
    <t>E27 6A, chr. norm., PNA000 16A gG Pojistková vložka</t>
  </si>
  <si>
    <t>100</t>
  </si>
  <si>
    <t>210202115R00</t>
  </si>
  <si>
    <t>Svítidlo veřejného osvětlení sadové vč. dodávky</t>
  </si>
  <si>
    <t>101</t>
  </si>
  <si>
    <t>210204002RT1</t>
  </si>
  <si>
    <t>Stožár osvětlovací sadový bezpaticový - ocelový, žár. zinkovaný</t>
  </si>
  <si>
    <t>2x odstupňovaný sadový stožár výšky 5,0 m,
zemní část s termoplastickým povlakem</t>
  </si>
  <si>
    <t>102</t>
  </si>
  <si>
    <t>210204201R00</t>
  </si>
  <si>
    <t>Elektrovýzbroj stožáru pro 1 okruh</t>
  </si>
  <si>
    <t>103</t>
  </si>
  <si>
    <t>210800527RT1</t>
  </si>
  <si>
    <t>Vodič H07V-U (CY) 6 mm2 uložený volně</t>
  </si>
  <si>
    <t>104</t>
  </si>
  <si>
    <t>210810015RT1</t>
  </si>
  <si>
    <t>Kabel CYKY-m 750 V 5 x 1,5 mm2 volně uložený</t>
  </si>
  <si>
    <t>včetně dodávky kabelu CYKY-J 5x1,5 mm2</t>
  </si>
  <si>
    <t>5*5,0</t>
  </si>
  <si>
    <t>105</t>
  </si>
  <si>
    <t>210810017RT3</t>
  </si>
  <si>
    <t>Kabel CYKY-m 750 V 5 žil,4 až 25 mm2,volně uložený</t>
  </si>
  <si>
    <t>190*1,05</t>
  </si>
  <si>
    <t>106</t>
  </si>
  <si>
    <t>210 0006</t>
  </si>
  <si>
    <t>Přeložení kabelové trasy - stranové  - optický kabel</t>
  </si>
  <si>
    <t>kpl</t>
  </si>
  <si>
    <t>kabel První telefonní - délka trasy 156 m</t>
  </si>
  <si>
    <t>Pro přeložku je vypracován samostatný rozpočet a výkaz výměr</t>
  </si>
  <si>
    <t>M23</t>
  </si>
  <si>
    <t>Montáže potrubí</t>
  </si>
  <si>
    <t>107</t>
  </si>
  <si>
    <t>230191008R00</t>
  </si>
  <si>
    <t>Uložení chráničky ve výkopu PE 63 mm</t>
  </si>
  <si>
    <t>M23_</t>
  </si>
  <si>
    <t>M46</t>
  </si>
  <si>
    <t>Zemní práce při montážích</t>
  </si>
  <si>
    <t>108</t>
  </si>
  <si>
    <t>199000002R00</t>
  </si>
  <si>
    <t>Poplatek za skládku horniny tř. 1- 4</t>
  </si>
  <si>
    <t>M46_</t>
  </si>
  <si>
    <t>109</t>
  </si>
  <si>
    <t>460010024RT1</t>
  </si>
  <si>
    <t>Vytýčení kabelové trasy v zastavěném prostoru</t>
  </si>
  <si>
    <t>km</t>
  </si>
  <si>
    <t>délka trasy do 100 m</t>
  </si>
  <si>
    <t>110</t>
  </si>
  <si>
    <t>460030011R00</t>
  </si>
  <si>
    <t>Sejmutí drnu</t>
  </si>
  <si>
    <t>nářez drnu, naložení, odvoz</t>
  </si>
  <si>
    <t>(150-30)*0,5+40,0*0,35</t>
  </si>
  <si>
    <t>111</t>
  </si>
  <si>
    <t>460050004RT1</t>
  </si>
  <si>
    <t>Jáma pro stožár J nepatk. do 8 m, v rovině, hor. 4</t>
  </si>
  <si>
    <t>ruční výkop jámy</t>
  </si>
  <si>
    <t>112</t>
  </si>
  <si>
    <t>460080001R00</t>
  </si>
  <si>
    <t>Betonový základ do zeminy bez bednění</t>
  </si>
  <si>
    <t>5*0,65</t>
  </si>
  <si>
    <t>113</t>
  </si>
  <si>
    <t>460100023RT1</t>
  </si>
  <si>
    <t>Pouzdrový základ 300x1500 mm v ose trasy kab.</t>
  </si>
  <si>
    <t>kompletní zhot.pouzdrového základu</t>
  </si>
  <si>
    <t>114</t>
  </si>
  <si>
    <t>460200164R00</t>
  </si>
  <si>
    <t>Výkop kabelové rýhy 35/80 cm  hor.4</t>
  </si>
  <si>
    <t>115</t>
  </si>
  <si>
    <t>460200254R00</t>
  </si>
  <si>
    <t>Výkop kabelové rýhy 50/70 cm  hor.4</t>
  </si>
  <si>
    <t>společná rýha pro optický kabel</t>
  </si>
  <si>
    <t>116</t>
  </si>
  <si>
    <t>460420018RT1</t>
  </si>
  <si>
    <t>Zřízení kabelového lože v rýze š.do 35 cm z písku</t>
  </si>
  <si>
    <t>tloušťka vrstvy 15 cm</t>
  </si>
  <si>
    <t>117</t>
  </si>
  <si>
    <t>460420022RT2</t>
  </si>
  <si>
    <t>Zřízení kabelového lože v rýze š. do 65 cm z písku</t>
  </si>
  <si>
    <t>lože tloušťky 15 cm</t>
  </si>
  <si>
    <t>118</t>
  </si>
  <si>
    <t>460490012R00</t>
  </si>
  <si>
    <t>Fólie výstražná z PVC, šířka 33 cm</t>
  </si>
  <si>
    <t>119</t>
  </si>
  <si>
    <t>460510281RZ2</t>
  </si>
  <si>
    <t>Kabelová trasa - demontáž</t>
  </si>
  <si>
    <t>demontáž trasy - do suti</t>
  </si>
  <si>
    <t>120</t>
  </si>
  <si>
    <t>460560164RT1</t>
  </si>
  <si>
    <t>Zához rýhy 35/80 cm, hornina třídy 4</t>
  </si>
  <si>
    <t>ruční zához rýhy</t>
  </si>
  <si>
    <t>121</t>
  </si>
  <si>
    <t>460560254R00</t>
  </si>
  <si>
    <t>Zához rýhy 50/70 cm, hornina třídy 4</t>
  </si>
  <si>
    <t>122</t>
  </si>
  <si>
    <t>460600001RT8</t>
  </si>
  <si>
    <t>Naložení a odvoz zeminy</t>
  </si>
  <si>
    <t>odvoz na vzdálenost 10000 m</t>
  </si>
  <si>
    <t>150*0,5*0,15+40*0,35*0,15+5*0,5</t>
  </si>
  <si>
    <t>123</t>
  </si>
  <si>
    <t>460620001RT1</t>
  </si>
  <si>
    <t>Položení drnu</t>
  </si>
  <si>
    <t>ruční položení drnu, kropení</t>
  </si>
  <si>
    <t>124</t>
  </si>
  <si>
    <t>460620006RT1</t>
  </si>
  <si>
    <t>Osetí povrchu trávou</t>
  </si>
  <si>
    <t>včetně dodávky osiva</t>
  </si>
  <si>
    <t>(55+90)*0,5</t>
  </si>
  <si>
    <t>125</t>
  </si>
  <si>
    <t>460620014RT1</t>
  </si>
  <si>
    <t>Provizorní úprava terénu v přírodní hornině 4</t>
  </si>
  <si>
    <t>ruční vyrovnání a zhutnění</t>
  </si>
  <si>
    <t>M65</t>
  </si>
  <si>
    <t>Elektroinstalace</t>
  </si>
  <si>
    <t>126</t>
  </si>
  <si>
    <t>650041217R00</t>
  </si>
  <si>
    <t>Montáž a dodávka svorkovnice řadové pro vodič do 16 mm2</t>
  </si>
  <si>
    <t>M65_</t>
  </si>
  <si>
    <t>jednopojistková</t>
  </si>
  <si>
    <t>127</t>
  </si>
  <si>
    <t>650111141RT2</t>
  </si>
  <si>
    <t>Uložení uzem. pásku v zemi do 120 mm2</t>
  </si>
  <si>
    <t>včetně dodávky pásku FeZn 30 x 4 mm</t>
  </si>
  <si>
    <t>128</t>
  </si>
  <si>
    <t>650111146RT2</t>
  </si>
  <si>
    <t>Uložení uzem. drátu v zemi FeZn do 10 mm</t>
  </si>
  <si>
    <t>včetně dodávky drátu FeZn 10 mm</t>
  </si>
  <si>
    <t>5*3,0</t>
  </si>
  <si>
    <t>129</t>
  </si>
  <si>
    <t>650111711RT5</t>
  </si>
  <si>
    <t>Montáž hromosvodové svorky do 2 šroubů</t>
  </si>
  <si>
    <t>včetně dodávky svorky SR 3a</t>
  </si>
  <si>
    <t>130</t>
  </si>
  <si>
    <t>650111713RT2</t>
  </si>
  <si>
    <t>Montáž hromosvodové svorky nad 2 šrouby</t>
  </si>
  <si>
    <t>včetně dodávky svorky SR 2a</t>
  </si>
  <si>
    <t>131</t>
  </si>
  <si>
    <t>650111713RT7</t>
  </si>
  <si>
    <t>včetně dodávky svorky SP01</t>
  </si>
  <si>
    <t>132</t>
  </si>
  <si>
    <t>650111781RT2</t>
  </si>
  <si>
    <t>Označení svodu štítkem</t>
  </si>
  <si>
    <t>včetně dodávky štítku</t>
  </si>
  <si>
    <t>M999VD</t>
  </si>
  <si>
    <t>Montážní práce</t>
  </si>
  <si>
    <t>133</t>
  </si>
  <si>
    <t>999100</t>
  </si>
  <si>
    <t>Pronájem jeřábu do 35 t</t>
  </si>
  <si>
    <t>hod</t>
  </si>
  <si>
    <t>M999VD_</t>
  </si>
  <si>
    <t>montáž stožáru 2hod/kus</t>
  </si>
  <si>
    <t>134</t>
  </si>
  <si>
    <t>999102</t>
  </si>
  <si>
    <t>Přistavení jeřábu na stavbu</t>
  </si>
  <si>
    <t>135</t>
  </si>
  <si>
    <t>999104</t>
  </si>
  <si>
    <t>Vysokozdvižná plošina pronájem</t>
  </si>
  <si>
    <t>vysokozdvižná plošina - montáž svítidla na stožár - 1 h/ks</t>
  </si>
  <si>
    <t>136</t>
  </si>
  <si>
    <t>999106</t>
  </si>
  <si>
    <t>Přistavení vysokozdv. plošiny na stavbu</t>
  </si>
  <si>
    <t>137</t>
  </si>
  <si>
    <t>999108</t>
  </si>
  <si>
    <t>Zkušební provoz</t>
  </si>
  <si>
    <t xml:space="preserve"> Zkušební provoz - provozní zkouška osvětlení po kompletaci, měření osvětlení, protokol o měření</t>
  </si>
  <si>
    <t>138</t>
  </si>
  <si>
    <t>3457114702</t>
  </si>
  <si>
    <t>Trubka kabelová chránička HDPE 63 mm dvoupl.</t>
  </si>
  <si>
    <t>401_Z_</t>
  </si>
  <si>
    <t>190</t>
  </si>
  <si>
    <t>;ztratné 5%; 9,5</t>
  </si>
  <si>
    <t>VORN</t>
  </si>
  <si>
    <t>Vedlejší a ostatní rozpočtové náklady</t>
  </si>
  <si>
    <t>010VD</t>
  </si>
  <si>
    <t>Vedlejší rozpočtové náklady</t>
  </si>
  <si>
    <t>139</t>
  </si>
  <si>
    <t>100 00-01</t>
  </si>
  <si>
    <t>Dopravně inženýrská opatření</t>
  </si>
  <si>
    <t>soubor</t>
  </si>
  <si>
    <t>010VD_</t>
  </si>
  <si>
    <t>VORN_0_</t>
  </si>
  <si>
    <t>VORN_</t>
  </si>
  <si>
    <t>Dopravně inženýrská opatření po dobu stavby, prováděná v souladu s pokyny Policie ČR - dopravního inspektorátu, dle pokynů příslušného odboru dopravy a správce komunikace - Služby města Jihlavy a dle pokynů dalších příslušných orgánů.
Včetně veškerého přechodného dopravního značení, vč. instalace a zajištění servisu značení po celou dobu trvání stavby.
Zajištění prací pro "Stanovení přechodné úpravy silničního provozu na komunikacích dle §77 zákona č. 361/2000 Sb., O provozu na pozemních komunikacích."
Zpracování plánu DIO.</t>
  </si>
  <si>
    <t>140</t>
  </si>
  <si>
    <t>Náklady na vytýčení budovaných ploch</t>
  </si>
  <si>
    <t>Geodetické vytýčení nově budovaných parkovacích míst a souvisejícíchc konstrukcí, včetně nákladů na opakovanou dopravu geodetické skupiny, práce kancelářské a výstupní materiál.</t>
  </si>
  <si>
    <t>141</t>
  </si>
  <si>
    <t>Náklady na vytýčení stávajících inž. sítí</t>
  </si>
  <si>
    <t>Polohové a hloubkové vytyčení stávajících sítí před zahájením zemních prací pro každou stavbu zvlášť,
( opakované vytyčení v případě poškození, ztráty, znehodnocení či nejasnosti vytyčovacích znaků v terénu
staveniště ) sítě a zařízení, včetně protokolárního předání vytyčení</t>
  </si>
  <si>
    <t>142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</si>
  <si>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</si>
  <si>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</si>
  <si>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143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</si>
  <si>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</si>
  <si>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
náklady na osazení, přemístění a zrušení cedulí
</t>
  </si>
  <si>
    <t>144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</si>
  <si>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</si>
  <si>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</si>
  <si>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145</t>
  </si>
  <si>
    <t>Náklady na projednání záborů</t>
  </si>
  <si>
    <t>Náklady na projednání a zajištění záborů všech ploch potřebných k realizaci stavby, včetně případných poplatků za pronájem ploch.</t>
  </si>
  <si>
    <t>146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</si>
  <si>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</si>
  <si>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</si>
  <si>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147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</si>
  <si>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</si>
  <si>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</si>
  <si>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148</t>
  </si>
  <si>
    <t>200 00-01</t>
  </si>
  <si>
    <t>Geometrický plán stavby</t>
  </si>
  <si>
    <t xml:space="preserve">Geometrický plán stavby pro vložení do katastru nemovitostí, zhotovený oprávněnou osobou.
</t>
  </si>
  <si>
    <t>149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</si>
  <si>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</si>
  <si>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</si>
  <si>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150</t>
  </si>
  <si>
    <t>Geodetické zaměření skutečného provedení stavby</t>
  </si>
  <si>
    <t>Geodetické zaměření MICROSTATION skutečného stavu provedených konstrukcí, včetně veřejného osvětlení, včetně nákladů na opakovanou dopravu geodetické skupiny, práce kancelářské a výstupní materiál.</t>
  </si>
  <si>
    <t>VRN-ZS</t>
  </si>
  <si>
    <t>Vedlejší rozpočtové náklady - zařízení staveniště</t>
  </si>
  <si>
    <t>151</t>
  </si>
  <si>
    <t>Náklady na zařízení staveniště</t>
  </si>
  <si>
    <t>VRN-ZS_0_</t>
  </si>
  <si>
    <t>VRN-ZS_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</si>
  <si>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
</t>
  </si>
  <si>
    <t>Celkem:</t>
  </si>
  <si>
    <t>Náklady na veškeré výkony a materiály jsou obsaženy v příslušných položkách</t>
  </si>
  <si>
    <t>Stavební rozpočet - Jen objekty celkem</t>
  </si>
  <si>
    <t>Zkrácený popis</t>
  </si>
  <si>
    <t>F</t>
  </si>
  <si>
    <t>Krycí list rozpočtu</t>
  </si>
  <si>
    <t>IČO/DIČ:</t>
  </si>
  <si>
    <t>00286010/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</si>
  <si>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</si>
  <si>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</si>
  <si>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</si>
  <si>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</si>
  <si>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</si>
  <si>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</si>
  <si>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</si>
  <si>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</si>
  <si>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</si>
  <si>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</si>
  <si>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</si>
  <si>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</si>
  <si>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</si>
  <si>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</si>
  <si>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</si>
  <si>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</si>
  <si>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</si>
  <si>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</si>
  <si>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</si>
  <si>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</si>
  <si>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</si>
  <si>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</si>
  <si>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</si>
  <si>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</si>
  <si>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</si>
  <si>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</si>
  <si>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</si>
  <si>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</si>
  <si>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</si>
  <si>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</si>
  <si>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</si>
  <si>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</si>
  <si>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</si>
  <si>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</si>
  <si>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</si>
  <si>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</si>
  <si>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</si>
  <si>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</si>
  <si>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</si>
  <si>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</si>
  <si>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</si>
  <si>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 xml:space="preserve">Náklady na veškeré výkony a materiály jsou obsaženy v příslušných položkách 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</si>
  <si>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</si>
  <si>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</si>
  <si>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</si>
  <si>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</si>
  <si>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</si>
  <si>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</si>
  <si>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</si>
  <si>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</si>
  <si>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</si>
  <si>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</si>
  <si>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</si>
  <si>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bez dodávky kabelu CYKY-J 5x10 mm2, bude dodán ze skladových zásob investora</t>
  </si>
  <si>
    <t>bez dodávky stožáru - bude dodán ze skladových zásob investora</t>
  </si>
  <si>
    <t xml:space="preserve">Svítidlo veřejného osvětlení sadové </t>
  </si>
  <si>
    <t>bez dodávky svítidla-bude dodáno ze skladových zásob investora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</si>
</sst>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FF"/>
      <name val="Arial"/>
      <charset val="238"/>
    </font>
    <font>
      <i/>
      <sz val="10"/>
      <color rgb="FF000000"/>
      <name val="Arial"/>
      <charset val="238"/>
    </font>
    <font>
      <i/>
      <sz val="10"/>
      <color rgb="FFDF0000"/>
      <name val="Arial"/>
      <charset val="238"/>
    </font>
    <font>
      <i/>
      <sz val="10"/>
      <color rgb="FF0078D7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0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7" fillId="0" borderId="40" xfId="0" applyNumberFormat="1" applyFont="1" applyFill="1" applyBorder="1" applyAlignment="1" applyProtection="1">
      <alignment horizontal="righ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2" fillId="0" borderId="3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7" xfId="0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10" fillId="2" borderId="49" xfId="0" applyNumberFormat="1" applyFont="1" applyFill="1" applyBorder="1" applyAlignment="1" applyProtection="1">
      <alignment horizontal="center" vertical="center"/>
    </xf>
    <xf numFmtId="0" fontId="10" fillId="2" borderId="52" xfId="0" applyNumberFormat="1" applyFont="1" applyFill="1" applyBorder="1" applyAlignment="1" applyProtection="1">
      <alignment horizontal="center" vertical="center"/>
    </xf>
    <xf numFmtId="0" fontId="12" fillId="0" borderId="53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left" vertical="center"/>
    </xf>
    <xf numFmtId="4" fontId="13" fillId="0" borderId="54" xfId="0" applyNumberFormat="1" applyFont="1" applyFill="1" applyBorder="1" applyAlignment="1" applyProtection="1">
      <alignment horizontal="right" vertical="center"/>
    </xf>
    <xf numFmtId="0" fontId="12" fillId="0" borderId="57" xfId="0" applyNumberFormat="1" applyFont="1" applyFill="1" applyBorder="1" applyAlignment="1" applyProtection="1">
      <alignment horizontal="left" vertical="center"/>
    </xf>
    <xf numFmtId="0" fontId="13" fillId="0" borderId="54" xfId="0" applyNumberFormat="1" applyFont="1" applyFill="1" applyBorder="1" applyAlignment="1" applyProtection="1">
      <alignment horizontal="right" vertical="center"/>
    </xf>
    <xf numFmtId="4" fontId="13" fillId="0" borderId="61" xfId="0" applyNumberFormat="1" applyFont="1" applyFill="1" applyBorder="1" applyAlignment="1" applyProtection="1">
      <alignment horizontal="right" vertical="center"/>
    </xf>
    <xf numFmtId="0" fontId="13" fillId="0" borderId="61" xfId="0" applyNumberFormat="1" applyFont="1" applyFill="1" applyBorder="1" applyAlignment="1" applyProtection="1">
      <alignment horizontal="right" vertical="center"/>
    </xf>
    <xf numFmtId="4" fontId="13" fillId="0" borderId="52" xfId="0" applyNumberFormat="1" applyFont="1" applyFill="1" applyBorder="1" applyAlignment="1" applyProtection="1">
      <alignment horizontal="right"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" fontId="12" fillId="2" borderId="51" xfId="0" applyNumberFormat="1" applyFont="1" applyFill="1" applyBorder="1" applyAlignment="1" applyProtection="1">
      <alignment horizontal="right" vertical="center"/>
    </xf>
    <xf numFmtId="4" fontId="12" fillId="2" borderId="56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54" xfId="0" applyNumberFormat="1" applyFont="1" applyFill="1" applyBorder="1" applyAlignment="1" applyProtection="1">
      <alignment horizontal="right" vertical="center"/>
    </xf>
    <xf numFmtId="0" fontId="3" fillId="0" borderId="54" xfId="0" applyNumberFormat="1" applyFont="1" applyFill="1" applyBorder="1" applyAlignment="1" applyProtection="1">
      <alignment horizontal="left" vertical="center"/>
    </xf>
    <xf numFmtId="4" fontId="3" fillId="0" borderId="78" xfId="0" applyNumberFormat="1" applyFont="1" applyFill="1" applyBorder="1" applyAlignment="1" applyProtection="1">
      <alignment horizontal="right" vertical="center"/>
    </xf>
    <xf numFmtId="0" fontId="3" fillId="0" borderId="78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left" vertical="center"/>
    </xf>
    <xf numFmtId="0" fontId="2" fillId="0" borderId="82" xfId="0" applyNumberFormat="1" applyFont="1" applyFill="1" applyBorder="1" applyAlignment="1" applyProtection="1">
      <alignment horizontal="right" vertical="center"/>
    </xf>
    <xf numFmtId="4" fontId="2" fillId="0" borderId="8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6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7" fillId="0" borderId="40" xfId="0" applyNumberFormat="1" applyFont="1" applyFill="1" applyBorder="1" applyAlignment="1" applyProtection="1">
      <alignment horizontal="left" vertical="center" wrapText="1"/>
    </xf>
    <xf numFmtId="0" fontId="7" fillId="0" borderId="40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6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13" fillId="0" borderId="68" xfId="0" applyNumberFormat="1" applyFont="1" applyFill="1" applyBorder="1" applyAlignment="1" applyProtection="1">
      <alignment horizontal="left" vertical="center"/>
    </xf>
    <xf numFmtId="0" fontId="13" fillId="0" borderId="43" xfId="0" applyNumberFormat="1" applyFont="1" applyFill="1" applyBorder="1" applyAlignment="1" applyProtection="1">
      <alignment horizontal="left" vertical="center"/>
    </xf>
    <xf numFmtId="0" fontId="13" fillId="0" borderId="67" xfId="0" applyNumberFormat="1" applyFont="1" applyFill="1" applyBorder="1" applyAlignment="1" applyProtection="1">
      <alignment horizontal="left" vertical="center"/>
    </xf>
    <xf numFmtId="0" fontId="13" fillId="0" borderId="71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70" xfId="0" applyNumberFormat="1" applyFont="1" applyFill="1" applyBorder="1" applyAlignment="1" applyProtection="1">
      <alignment horizontal="left" vertical="center"/>
    </xf>
    <xf numFmtId="0" fontId="13" fillId="0" borderId="74" xfId="0" applyNumberFormat="1" applyFont="1" applyFill="1" applyBorder="1" applyAlignment="1" applyProtection="1">
      <alignment horizontal="left" vertical="center"/>
    </xf>
    <xf numFmtId="0" fontId="13" fillId="0" borderId="45" xfId="0" applyNumberFormat="1" applyFont="1" applyFill="1" applyBorder="1" applyAlignment="1" applyProtection="1">
      <alignment horizontal="left" vertical="center"/>
    </xf>
    <xf numFmtId="0" fontId="13" fillId="0" borderId="73" xfId="0" applyNumberFormat="1" applyFont="1" applyFill="1" applyBorder="1" applyAlignment="1" applyProtection="1">
      <alignment horizontal="left" vertical="center"/>
    </xf>
    <xf numFmtId="0" fontId="13" fillId="0" borderId="66" xfId="0" applyNumberFormat="1" applyFont="1" applyFill="1" applyBorder="1" applyAlignment="1" applyProtection="1">
      <alignment horizontal="left" vertical="center"/>
    </xf>
    <xf numFmtId="0" fontId="13" fillId="0" borderId="69" xfId="0" applyNumberFormat="1" applyFont="1" applyFill="1" applyBorder="1" applyAlignment="1" applyProtection="1">
      <alignment horizontal="left" vertical="center"/>
    </xf>
    <xf numFmtId="0" fontId="13" fillId="0" borderId="72" xfId="0" applyNumberFormat="1" applyFont="1" applyFill="1" applyBorder="1" applyAlignment="1" applyProtection="1">
      <alignment horizontal="left" vertical="center"/>
    </xf>
    <xf numFmtId="0" fontId="12" fillId="0" borderId="58" xfId="0" applyNumberFormat="1" applyFont="1" applyFill="1" applyBorder="1" applyAlignment="1" applyProtection="1">
      <alignment horizontal="left" vertical="center"/>
    </xf>
    <xf numFmtId="0" fontId="12" fillId="0" borderId="56" xfId="0" applyNumberFormat="1" applyFont="1" applyFill="1" applyBorder="1" applyAlignment="1" applyProtection="1">
      <alignment horizontal="left" vertical="center"/>
    </xf>
    <xf numFmtId="0" fontId="12" fillId="2" borderId="63" xfId="0" applyNumberFormat="1" applyFont="1" applyFill="1" applyBorder="1" applyAlignment="1" applyProtection="1">
      <alignment horizontal="left" vertical="center"/>
    </xf>
    <xf numFmtId="0" fontId="12" fillId="2" borderId="64" xfId="0" applyNumberFormat="1" applyFont="1" applyFill="1" applyBorder="1" applyAlignment="1" applyProtection="1">
      <alignment horizontal="left" vertical="center"/>
    </xf>
    <xf numFmtId="0" fontId="12" fillId="2" borderId="58" xfId="0" applyNumberFormat="1" applyFont="1" applyFill="1" applyBorder="1" applyAlignment="1" applyProtection="1">
      <alignment horizontal="left" vertical="center"/>
    </xf>
    <xf numFmtId="0" fontId="12" fillId="2" borderId="65" xfId="0" applyNumberFormat="1" applyFont="1" applyFill="1" applyBorder="1" applyAlignment="1" applyProtection="1">
      <alignment horizontal="left" vertical="center"/>
    </xf>
    <xf numFmtId="0" fontId="12" fillId="2" borderId="50" xfId="0" applyNumberFormat="1" applyFont="1" applyFill="1" applyBorder="1" applyAlignment="1" applyProtection="1">
      <alignment horizontal="left" vertical="center"/>
    </xf>
    <xf numFmtId="0" fontId="12" fillId="2" borderId="55" xfId="0" applyNumberFormat="1" applyFont="1" applyFill="1" applyBorder="1" applyAlignment="1" applyProtection="1">
      <alignment horizontal="left" vertical="center"/>
    </xf>
    <xf numFmtId="0" fontId="13" fillId="0" borderId="55" xfId="0" applyNumberFormat="1" applyFont="1" applyFill="1" applyBorder="1" applyAlignment="1" applyProtection="1">
      <alignment horizontal="left" vertical="center"/>
    </xf>
    <xf numFmtId="0" fontId="13" fillId="0" borderId="56" xfId="0" applyNumberFormat="1" applyFont="1" applyFill="1" applyBorder="1" applyAlignment="1" applyProtection="1">
      <alignment horizontal="left" vertical="center"/>
    </xf>
    <xf numFmtId="0" fontId="13" fillId="0" borderId="62" xfId="0" applyNumberFormat="1" applyFont="1" applyFill="1" applyBorder="1" applyAlignment="1" applyProtection="1">
      <alignment horizontal="left" vertical="center"/>
    </xf>
    <xf numFmtId="0" fontId="13" fillId="0" borderId="60" xfId="0" applyNumberFormat="1" applyFont="1" applyFill="1" applyBorder="1" applyAlignment="1" applyProtection="1">
      <alignment horizontal="left" vertical="center"/>
    </xf>
    <xf numFmtId="0" fontId="12" fillId="0" borderId="50" xfId="0" applyNumberFormat="1" applyFont="1" applyFill="1" applyBorder="1" applyAlignment="1" applyProtection="1">
      <alignment horizontal="left" vertical="center"/>
    </xf>
    <xf numFmtId="0" fontId="12" fillId="0" borderId="51" xfId="0" applyNumberFormat="1" applyFont="1" applyFill="1" applyBorder="1" applyAlignment="1" applyProtection="1">
      <alignment horizontal="left" vertical="center"/>
    </xf>
    <xf numFmtId="0" fontId="12" fillId="0" borderId="55" xfId="0" applyNumberFormat="1" applyFont="1" applyFill="1" applyBorder="1" applyAlignment="1" applyProtection="1">
      <alignment horizontal="left" vertical="center"/>
    </xf>
    <xf numFmtId="0" fontId="12" fillId="0" borderId="59" xfId="0" applyNumberFormat="1" applyFont="1" applyFill="1" applyBorder="1" applyAlignment="1" applyProtection="1">
      <alignment horizontal="left" vertical="center"/>
    </xf>
    <xf numFmtId="0" fontId="12" fillId="0" borderId="60" xfId="0" applyNumberFormat="1" applyFont="1" applyFill="1" applyBorder="1" applyAlignment="1" applyProtection="1">
      <alignment horizontal="left" vertical="center"/>
    </xf>
    <xf numFmtId="0" fontId="12" fillId="0" borderId="6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center" vertical="center"/>
    </xf>
    <xf numFmtId="0" fontId="11" fillId="0" borderId="50" xfId="0" applyNumberFormat="1" applyFont="1" applyFill="1" applyBorder="1" applyAlignment="1" applyProtection="1">
      <alignment horizontal="left" vertical="center"/>
    </xf>
    <xf numFmtId="0" fontId="11" fillId="0" borderId="51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79" xfId="0" applyNumberFormat="1" applyFont="1" applyFill="1" applyBorder="1" applyAlignment="1" applyProtection="1">
      <alignment horizontal="left" vertical="center"/>
    </xf>
    <xf numFmtId="0" fontId="2" fillId="0" borderId="80" xfId="0" applyNumberFormat="1" applyFont="1" applyFill="1" applyBorder="1" applyAlignment="1" applyProtection="1">
      <alignment horizontal="left" vertical="center"/>
    </xf>
    <xf numFmtId="0" fontId="2" fillId="0" borderId="81" xfId="0" applyNumberFormat="1" applyFont="1" applyFill="1" applyBorder="1" applyAlignment="1" applyProtection="1">
      <alignment horizontal="left" vertical="center"/>
    </xf>
    <xf numFmtId="0" fontId="12" fillId="0" borderId="79" xfId="0" applyNumberFormat="1" applyFont="1" applyFill="1" applyBorder="1" applyAlignment="1" applyProtection="1">
      <alignment horizontal="left" vertical="center"/>
    </xf>
    <xf numFmtId="0" fontId="12" fillId="0" borderId="80" xfId="0" applyNumberFormat="1" applyFont="1" applyFill="1" applyBorder="1" applyAlignment="1" applyProtection="1">
      <alignment horizontal="left" vertical="center"/>
    </xf>
    <xf numFmtId="0" fontId="12" fillId="0" borderId="81" xfId="0" applyNumberFormat="1" applyFont="1" applyFill="1" applyBorder="1" applyAlignment="1" applyProtection="1">
      <alignment horizontal="left" vertical="center"/>
    </xf>
    <xf numFmtId="4" fontId="12" fillId="0" borderId="83" xfId="0" applyNumberFormat="1" applyFont="1" applyFill="1" applyBorder="1" applyAlignment="1" applyProtection="1">
      <alignment horizontal="right" vertical="center"/>
    </xf>
    <xf numFmtId="0" fontId="12" fillId="0" borderId="80" xfId="0" applyNumberFormat="1" applyFont="1" applyFill="1" applyBorder="1" applyAlignment="1" applyProtection="1">
      <alignment horizontal="right" vertical="center"/>
    </xf>
    <xf numFmtId="0" fontId="12" fillId="0" borderId="81" xfId="0" applyNumberFormat="1" applyFont="1" applyFill="1" applyBorder="1" applyAlignment="1" applyProtection="1">
      <alignment horizontal="right" vertical="center"/>
    </xf>
    <xf numFmtId="0" fontId="12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75" xfId="0" applyNumberFormat="1" applyFont="1" applyFill="1" applyBorder="1" applyAlignment="1" applyProtection="1">
      <alignment horizontal="left" vertical="center"/>
    </xf>
    <xf numFmtId="0" fontId="3" fillId="0" borderId="76" xfId="0" applyNumberFormat="1" applyFont="1" applyFill="1" applyBorder="1" applyAlignment="1" applyProtection="1">
      <alignment horizontal="left" vertical="center"/>
    </xf>
    <xf numFmtId="0" fontId="3" fillId="0" borderId="7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5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370"/>
  <sheetViews>
    <sheetView workbookViewId="0">
      <pane ySplit="11" topLeftCell="A12" activePane="bottomLeft" state="frozen"/>
      <selection pane="bottomLeft" activeCell="H71" sqref="H71"/>
    </sheetView>
  </sheetViews>
  <sheetFormatPr defaultColWidth="12.15234375" defaultRowHeight="15" customHeight="1" x14ac:dyDescent="0.4"/>
  <cols>
    <col min="1" max="1" width="4" customWidth="1"/>
    <col min="2" max="2" width="7.53515625" customWidth="1"/>
    <col min="3" max="3" width="17.84375" customWidth="1"/>
    <col min="4" max="4" width="42.84375" customWidth="1"/>
    <col min="5" max="5" width="0.84375" customWidth="1"/>
    <col min="6" max="6" width="6.3828125" customWidth="1"/>
    <col min="7" max="7" width="12.84375" customWidth="1"/>
    <col min="8" max="8" width="12" customWidth="1"/>
    <col min="9" max="9" width="11.15234375" customWidth="1"/>
    <col min="10" max="13" width="15.69140625" customWidth="1"/>
    <col min="14" max="15" width="11.69140625" customWidth="1"/>
    <col min="16" max="16" width="13.3828125" customWidth="1"/>
    <col min="25" max="75" width="12.15234375" hidden="1"/>
    <col min="76" max="76" width="43.69140625" hidden="1" customWidth="1"/>
    <col min="77" max="78" width="12.15234375" hidden="1"/>
  </cols>
  <sheetData>
    <row r="1" spans="1:76" ht="54.75" customHeight="1" x14ac:dyDescent="0.4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6" x14ac:dyDescent="0.4">
      <c r="A2" s="118" t="s">
        <v>1</v>
      </c>
      <c r="B2" s="110"/>
      <c r="C2" s="110"/>
      <c r="D2" s="122" t="s">
        <v>2</v>
      </c>
      <c r="E2" s="123"/>
      <c r="F2" s="123"/>
      <c r="G2" s="110" t="s">
        <v>3</v>
      </c>
      <c r="H2" s="110" t="s">
        <v>4</v>
      </c>
      <c r="I2" s="109" t="s">
        <v>5</v>
      </c>
      <c r="J2" s="109" t="s">
        <v>6</v>
      </c>
      <c r="K2" s="110"/>
      <c r="L2" s="110"/>
      <c r="M2" s="110"/>
      <c r="N2" s="110"/>
      <c r="O2" s="110"/>
      <c r="P2" s="111"/>
    </row>
    <row r="3" spans="1:76" ht="14.6" x14ac:dyDescent="0.4">
      <c r="A3" s="119"/>
      <c r="B3" s="85"/>
      <c r="C3" s="85"/>
      <c r="D3" s="124"/>
      <c r="E3" s="124"/>
      <c r="F3" s="124"/>
      <c r="G3" s="85"/>
      <c r="H3" s="85"/>
      <c r="I3" s="85"/>
      <c r="J3" s="85"/>
      <c r="K3" s="85"/>
      <c r="L3" s="85"/>
      <c r="M3" s="85"/>
      <c r="N3" s="85"/>
      <c r="O3" s="85"/>
      <c r="P3" s="112"/>
    </row>
    <row r="4" spans="1:76" ht="14.6" x14ac:dyDescent="0.4">
      <c r="A4" s="120" t="s">
        <v>7</v>
      </c>
      <c r="B4" s="85"/>
      <c r="C4" s="85"/>
      <c r="D4" s="84" t="s">
        <v>8</v>
      </c>
      <c r="E4" s="85"/>
      <c r="F4" s="85"/>
      <c r="G4" s="85" t="s">
        <v>9</v>
      </c>
      <c r="H4" s="85" t="s">
        <v>4</v>
      </c>
      <c r="I4" s="84" t="s">
        <v>10</v>
      </c>
      <c r="J4" s="85" t="s">
        <v>11</v>
      </c>
      <c r="K4" s="85"/>
      <c r="L4" s="85"/>
      <c r="M4" s="85"/>
      <c r="N4" s="85"/>
      <c r="O4" s="85"/>
      <c r="P4" s="112"/>
    </row>
    <row r="5" spans="1:76" ht="14.6" x14ac:dyDescent="0.4">
      <c r="A5" s="119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112"/>
    </row>
    <row r="6" spans="1:76" ht="14.6" x14ac:dyDescent="0.4">
      <c r="A6" s="120" t="s">
        <v>12</v>
      </c>
      <c r="B6" s="85"/>
      <c r="C6" s="85"/>
      <c r="D6" s="84" t="s">
        <v>13</v>
      </c>
      <c r="E6" s="85"/>
      <c r="F6" s="85"/>
      <c r="G6" s="85" t="s">
        <v>14</v>
      </c>
      <c r="H6" s="85" t="s">
        <v>4</v>
      </c>
      <c r="I6" s="84" t="s">
        <v>15</v>
      </c>
      <c r="J6" s="84" t="s">
        <v>16</v>
      </c>
      <c r="K6" s="85"/>
      <c r="L6" s="85"/>
      <c r="M6" s="85"/>
      <c r="N6" s="85"/>
      <c r="O6" s="85"/>
      <c r="P6" s="112"/>
    </row>
    <row r="7" spans="1:76" ht="14.6" x14ac:dyDescent="0.4">
      <c r="A7" s="11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112"/>
    </row>
    <row r="8" spans="1:76" ht="14.6" x14ac:dyDescent="0.4">
      <c r="A8" s="120" t="s">
        <v>17</v>
      </c>
      <c r="B8" s="85"/>
      <c r="C8" s="85"/>
      <c r="D8" s="84" t="s">
        <v>4</v>
      </c>
      <c r="E8" s="85"/>
      <c r="F8" s="85"/>
      <c r="G8" s="85" t="s">
        <v>18</v>
      </c>
      <c r="H8" s="85" t="s">
        <v>19</v>
      </c>
      <c r="I8" s="84" t="s">
        <v>20</v>
      </c>
      <c r="J8" s="84" t="s">
        <v>21</v>
      </c>
      <c r="K8" s="85"/>
      <c r="L8" s="85"/>
      <c r="M8" s="85"/>
      <c r="N8" s="85"/>
      <c r="O8" s="85"/>
      <c r="P8" s="112"/>
    </row>
    <row r="9" spans="1:76" ht="14.6" x14ac:dyDescent="0.4">
      <c r="A9" s="121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4"/>
    </row>
    <row r="10" spans="1:76" ht="14.6" x14ac:dyDescent="0.4">
      <c r="A10" s="5" t="s">
        <v>22</v>
      </c>
      <c r="B10" s="6" t="s">
        <v>23</v>
      </c>
      <c r="C10" s="6" t="s">
        <v>24</v>
      </c>
      <c r="D10" s="115" t="s">
        <v>25</v>
      </c>
      <c r="E10" s="116"/>
      <c r="F10" s="6" t="s">
        <v>26</v>
      </c>
      <c r="G10" s="7" t="s">
        <v>27</v>
      </c>
      <c r="H10" s="8" t="s">
        <v>28</v>
      </c>
      <c r="I10" s="9" t="s">
        <v>29</v>
      </c>
      <c r="J10" s="102" t="s">
        <v>30</v>
      </c>
      <c r="K10" s="103"/>
      <c r="L10" s="104"/>
      <c r="M10" s="10" t="s">
        <v>30</v>
      </c>
      <c r="N10" s="105" t="s">
        <v>31</v>
      </c>
      <c r="O10" s="106"/>
      <c r="P10" s="11" t="s">
        <v>32</v>
      </c>
      <c r="BK10" s="12" t="s">
        <v>33</v>
      </c>
      <c r="BL10" s="13" t="s">
        <v>34</v>
      </c>
      <c r="BW10" s="13" t="s">
        <v>35</v>
      </c>
    </row>
    <row r="11" spans="1:76" ht="14.6" x14ac:dyDescent="0.4">
      <c r="A11" s="14" t="s">
        <v>4</v>
      </c>
      <c r="B11" s="15" t="s">
        <v>4</v>
      </c>
      <c r="C11" s="15" t="s">
        <v>4</v>
      </c>
      <c r="D11" s="100" t="s">
        <v>36</v>
      </c>
      <c r="E11" s="101"/>
      <c r="F11" s="15" t="s">
        <v>4</v>
      </c>
      <c r="G11" s="15" t="s">
        <v>4</v>
      </c>
      <c r="H11" s="16" t="s">
        <v>37</v>
      </c>
      <c r="I11" s="17" t="s">
        <v>4</v>
      </c>
      <c r="J11" s="18" t="s">
        <v>38</v>
      </c>
      <c r="K11" s="19" t="s">
        <v>39</v>
      </c>
      <c r="L11" s="20" t="s">
        <v>40</v>
      </c>
      <c r="M11" s="21" t="s">
        <v>41</v>
      </c>
      <c r="N11" s="22" t="s">
        <v>42</v>
      </c>
      <c r="O11" s="23" t="s">
        <v>40</v>
      </c>
      <c r="P11" s="24" t="s">
        <v>43</v>
      </c>
      <c r="Z11" s="12" t="s">
        <v>44</v>
      </c>
      <c r="AA11" s="12" t="s">
        <v>45</v>
      </c>
      <c r="AB11" s="12" t="s">
        <v>46</v>
      </c>
      <c r="AC11" s="12" t="s">
        <v>47</v>
      </c>
      <c r="AD11" s="12" t="s">
        <v>48</v>
      </c>
      <c r="AE11" s="12" t="s">
        <v>49</v>
      </c>
      <c r="AF11" s="12" t="s">
        <v>50</v>
      </c>
      <c r="AG11" s="12" t="s">
        <v>51</v>
      </c>
      <c r="AH11" s="12" t="s">
        <v>52</v>
      </c>
      <c r="BH11" s="12" t="s">
        <v>53</v>
      </c>
      <c r="BI11" s="12" t="s">
        <v>54</v>
      </c>
      <c r="BJ11" s="12" t="s">
        <v>55</v>
      </c>
    </row>
    <row r="12" spans="1:76" ht="14.6" x14ac:dyDescent="0.4">
      <c r="A12" s="25" t="s">
        <v>56</v>
      </c>
      <c r="B12" s="26" t="s">
        <v>57</v>
      </c>
      <c r="C12" s="26" t="s">
        <v>56</v>
      </c>
      <c r="D12" s="107" t="s">
        <v>58</v>
      </c>
      <c r="E12" s="108"/>
      <c r="F12" s="27" t="s">
        <v>4</v>
      </c>
      <c r="G12" s="27" t="s">
        <v>4</v>
      </c>
      <c r="H12" s="27" t="s">
        <v>4</v>
      </c>
      <c r="I12" s="27" t="s">
        <v>4</v>
      </c>
      <c r="J12" s="28">
        <f>J13+J34+J42+J46+J49+J56+J70+J84+J97+J107+J115+J122+J137+J139+J141+J144+J156</f>
        <v>0</v>
      </c>
      <c r="K12" s="28">
        <f>K13+K34+K42+K46+K49+K56+K70+K84+K97+K107+K115+K122+K137+K139+K141+K144+K156</f>
        <v>0</v>
      </c>
      <c r="L12" s="28">
        <f>L13+L34+L42+L46+L49+L56+L70+L84+L97+L107+L115+L122+L137+L139+L141+L144+L156</f>
        <v>0</v>
      </c>
      <c r="M12" s="28">
        <f>M13+M34+M42+M46+M49+M56+M70+M84+M97+M107+M115+M122+M137+M139+M141+M144+M156</f>
        <v>0</v>
      </c>
      <c r="N12" s="29" t="s">
        <v>56</v>
      </c>
      <c r="O12" s="28">
        <f>O13+O34+O42+O46+O49+O56+O70+O84+O97+O107+O115+O122+O137+O139+O141+O144+O156</f>
        <v>439.73789799999997</v>
      </c>
      <c r="P12" s="30" t="s">
        <v>56</v>
      </c>
    </row>
    <row r="13" spans="1:76" ht="14.6" x14ac:dyDescent="0.4">
      <c r="A13" s="31" t="s">
        <v>56</v>
      </c>
      <c r="B13" s="32" t="s">
        <v>57</v>
      </c>
      <c r="C13" s="32" t="s">
        <v>59</v>
      </c>
      <c r="D13" s="89" t="s">
        <v>60</v>
      </c>
      <c r="E13" s="90"/>
      <c r="F13" s="33" t="s">
        <v>4</v>
      </c>
      <c r="G13" s="33" t="s">
        <v>4</v>
      </c>
      <c r="H13" s="33" t="s">
        <v>4</v>
      </c>
      <c r="I13" s="33" t="s">
        <v>4</v>
      </c>
      <c r="J13" s="1">
        <f>SUM(J14:J33)</f>
        <v>0</v>
      </c>
      <c r="K13" s="1">
        <f>SUM(K14:K33)</f>
        <v>0</v>
      </c>
      <c r="L13" s="1">
        <f>SUM(L14:L33)</f>
        <v>0</v>
      </c>
      <c r="M13" s="1">
        <f>SUM(M14:M33)</f>
        <v>0</v>
      </c>
      <c r="N13" s="12" t="s">
        <v>56</v>
      </c>
      <c r="O13" s="1">
        <f>SUM(O14:O33)</f>
        <v>114.93669999999999</v>
      </c>
      <c r="P13" s="34" t="s">
        <v>56</v>
      </c>
      <c r="AI13" s="12" t="s">
        <v>57</v>
      </c>
      <c r="AS13" s="1">
        <f>SUM(AJ14:AJ33)</f>
        <v>0</v>
      </c>
      <c r="AT13" s="1">
        <f>SUM(AK14:AK33)</f>
        <v>0</v>
      </c>
      <c r="AU13" s="1">
        <f>SUM(AL14:AL33)</f>
        <v>0</v>
      </c>
    </row>
    <row r="14" spans="1:76" ht="14.6" x14ac:dyDescent="0.4">
      <c r="A14" s="2" t="s">
        <v>61</v>
      </c>
      <c r="B14" s="3" t="s">
        <v>57</v>
      </c>
      <c r="C14" s="3" t="s">
        <v>62</v>
      </c>
      <c r="D14" s="84" t="s">
        <v>63</v>
      </c>
      <c r="E14" s="85"/>
      <c r="F14" s="3" t="s">
        <v>64</v>
      </c>
      <c r="G14" s="35">
        <v>50</v>
      </c>
      <c r="H14" s="82"/>
      <c r="I14" s="36" t="s">
        <v>65</v>
      </c>
      <c r="J14" s="35">
        <f>G14*AO14</f>
        <v>0</v>
      </c>
      <c r="K14" s="35">
        <f>G14*AP14</f>
        <v>0</v>
      </c>
      <c r="L14" s="35">
        <f>G14*H14</f>
        <v>0</v>
      </c>
      <c r="M14" s="35">
        <f>L14*(1+BW14/100)</f>
        <v>0</v>
      </c>
      <c r="N14" s="35">
        <v>0</v>
      </c>
      <c r="O14" s="35">
        <f>G14*N14</f>
        <v>0</v>
      </c>
      <c r="P14" s="37" t="s">
        <v>66</v>
      </c>
      <c r="Z14" s="35">
        <f>IF(AQ14="5",BJ14,0)</f>
        <v>0</v>
      </c>
      <c r="AB14" s="35">
        <f>IF(AQ14="1",BH14,0)</f>
        <v>0</v>
      </c>
      <c r="AC14" s="35">
        <f>IF(AQ14="1",BI14,0)</f>
        <v>0</v>
      </c>
      <c r="AD14" s="35">
        <f>IF(AQ14="7",BH14,0)</f>
        <v>0</v>
      </c>
      <c r="AE14" s="35">
        <f>IF(AQ14="7",BI14,0)</f>
        <v>0</v>
      </c>
      <c r="AF14" s="35">
        <f>IF(AQ14="2",BH14,0)</f>
        <v>0</v>
      </c>
      <c r="AG14" s="35">
        <f>IF(AQ14="2",BI14,0)</f>
        <v>0</v>
      </c>
      <c r="AH14" s="35">
        <f>IF(AQ14="0",BJ14,0)</f>
        <v>0</v>
      </c>
      <c r="AI14" s="12" t="s">
        <v>57</v>
      </c>
      <c r="AJ14" s="35">
        <f>IF(AN14=0,L14,0)</f>
        <v>0</v>
      </c>
      <c r="AK14" s="35">
        <f>IF(AN14=12,L14,0)</f>
        <v>0</v>
      </c>
      <c r="AL14" s="35">
        <f>IF(AN14=21,L14,0)</f>
        <v>0</v>
      </c>
      <c r="AN14" s="35">
        <v>21</v>
      </c>
      <c r="AO14" s="35">
        <f>H14*0</f>
        <v>0</v>
      </c>
      <c r="AP14" s="35">
        <f>H14*(1-0)</f>
        <v>0</v>
      </c>
      <c r="AQ14" s="36" t="s">
        <v>61</v>
      </c>
      <c r="AV14" s="35">
        <f>AW14+AX14</f>
        <v>0</v>
      </c>
      <c r="AW14" s="35">
        <f>G14*AO14</f>
        <v>0</v>
      </c>
      <c r="AX14" s="35">
        <f>G14*AP14</f>
        <v>0</v>
      </c>
      <c r="AY14" s="36" t="s">
        <v>67</v>
      </c>
      <c r="AZ14" s="36" t="s">
        <v>68</v>
      </c>
      <c r="BA14" s="12" t="s">
        <v>69</v>
      </c>
      <c r="BC14" s="35">
        <f>AW14+AX14</f>
        <v>0</v>
      </c>
      <c r="BD14" s="35">
        <f>H14/(100-BE14)*100</f>
        <v>0</v>
      </c>
      <c r="BE14" s="35">
        <v>0</v>
      </c>
      <c r="BF14" s="35">
        <f>O14</f>
        <v>0</v>
      </c>
      <c r="BH14" s="35">
        <f>G14*AO14</f>
        <v>0</v>
      </c>
      <c r="BI14" s="35">
        <f>G14*AP14</f>
        <v>0</v>
      </c>
      <c r="BJ14" s="35">
        <f>G14*H14</f>
        <v>0</v>
      </c>
      <c r="BK14" s="35"/>
      <c r="BL14" s="35">
        <v>11</v>
      </c>
      <c r="BW14" s="35" t="str">
        <f>I14</f>
        <v>21</v>
      </c>
      <c r="BX14" s="4" t="s">
        <v>63</v>
      </c>
    </row>
    <row r="15" spans="1:76" ht="14.6" x14ac:dyDescent="0.4">
      <c r="A15" s="38"/>
      <c r="D15" s="39" t="s">
        <v>70</v>
      </c>
      <c r="E15" s="40" t="s">
        <v>56</v>
      </c>
      <c r="G15" s="41">
        <v>50</v>
      </c>
      <c r="P15" s="42"/>
    </row>
    <row r="16" spans="1:76" ht="14.6" x14ac:dyDescent="0.4">
      <c r="A16" s="2" t="s">
        <v>71</v>
      </c>
      <c r="B16" s="3" t="s">
        <v>57</v>
      </c>
      <c r="C16" s="3" t="s">
        <v>72</v>
      </c>
      <c r="D16" s="84" t="s">
        <v>73</v>
      </c>
      <c r="E16" s="85"/>
      <c r="F16" s="3" t="s">
        <v>64</v>
      </c>
      <c r="G16" s="35">
        <v>9</v>
      </c>
      <c r="H16" s="82"/>
      <c r="I16" s="36" t="s">
        <v>65</v>
      </c>
      <c r="J16" s="35">
        <f>G16*AO16</f>
        <v>0</v>
      </c>
      <c r="K16" s="35">
        <f>G16*AP16</f>
        <v>0</v>
      </c>
      <c r="L16" s="35">
        <f>G16*H16</f>
        <v>0</v>
      </c>
      <c r="M16" s="35">
        <f>L16*(1+BW16/100)</f>
        <v>0</v>
      </c>
      <c r="N16" s="35">
        <v>0.13800000000000001</v>
      </c>
      <c r="O16" s="35">
        <f>G16*N16</f>
        <v>1.242</v>
      </c>
      <c r="P16" s="37" t="s">
        <v>66</v>
      </c>
      <c r="Z16" s="35">
        <f>IF(AQ16="5",BJ16,0)</f>
        <v>0</v>
      </c>
      <c r="AB16" s="35">
        <f>IF(AQ16="1",BH16,0)</f>
        <v>0</v>
      </c>
      <c r="AC16" s="35">
        <f>IF(AQ16="1",BI16,0)</f>
        <v>0</v>
      </c>
      <c r="AD16" s="35">
        <f>IF(AQ16="7",BH16,0)</f>
        <v>0</v>
      </c>
      <c r="AE16" s="35">
        <f>IF(AQ16="7",BI16,0)</f>
        <v>0</v>
      </c>
      <c r="AF16" s="35">
        <f>IF(AQ16="2",BH16,0)</f>
        <v>0</v>
      </c>
      <c r="AG16" s="35">
        <f>IF(AQ16="2",BI16,0)</f>
        <v>0</v>
      </c>
      <c r="AH16" s="35">
        <f>IF(AQ16="0",BJ16,0)</f>
        <v>0</v>
      </c>
      <c r="AI16" s="12" t="s">
        <v>57</v>
      </c>
      <c r="AJ16" s="35">
        <f>IF(AN16=0,L16,0)</f>
        <v>0</v>
      </c>
      <c r="AK16" s="35">
        <f>IF(AN16=12,L16,0)</f>
        <v>0</v>
      </c>
      <c r="AL16" s="35">
        <f>IF(AN16=21,L16,0)</f>
        <v>0</v>
      </c>
      <c r="AN16" s="35">
        <v>21</v>
      </c>
      <c r="AO16" s="35">
        <f>H16*0</f>
        <v>0</v>
      </c>
      <c r="AP16" s="35">
        <f>H16*(1-0)</f>
        <v>0</v>
      </c>
      <c r="AQ16" s="36" t="s">
        <v>61</v>
      </c>
      <c r="AV16" s="35">
        <f>AW16+AX16</f>
        <v>0</v>
      </c>
      <c r="AW16" s="35">
        <f>G16*AO16</f>
        <v>0</v>
      </c>
      <c r="AX16" s="35">
        <f>G16*AP16</f>
        <v>0</v>
      </c>
      <c r="AY16" s="36" t="s">
        <v>67</v>
      </c>
      <c r="AZ16" s="36" t="s">
        <v>68</v>
      </c>
      <c r="BA16" s="12" t="s">
        <v>69</v>
      </c>
      <c r="BC16" s="35">
        <f>AW16+AX16</f>
        <v>0</v>
      </c>
      <c r="BD16" s="35">
        <f>H16/(100-BE16)*100</f>
        <v>0</v>
      </c>
      <c r="BE16" s="35">
        <v>0</v>
      </c>
      <c r="BF16" s="35">
        <f>O16</f>
        <v>1.242</v>
      </c>
      <c r="BH16" s="35">
        <f>G16*AO16</f>
        <v>0</v>
      </c>
      <c r="BI16" s="35">
        <f>G16*AP16</f>
        <v>0</v>
      </c>
      <c r="BJ16" s="35">
        <f>G16*H16</f>
        <v>0</v>
      </c>
      <c r="BK16" s="35"/>
      <c r="BL16" s="35">
        <v>11</v>
      </c>
      <c r="BW16" s="35" t="str">
        <f>I16</f>
        <v>21</v>
      </c>
      <c r="BX16" s="4" t="s">
        <v>73</v>
      </c>
    </row>
    <row r="17" spans="1:76" ht="14.6" x14ac:dyDescent="0.4">
      <c r="A17" s="38"/>
      <c r="D17" s="39" t="s">
        <v>74</v>
      </c>
      <c r="E17" s="40" t="s">
        <v>56</v>
      </c>
      <c r="G17" s="41">
        <v>9</v>
      </c>
      <c r="P17" s="42"/>
    </row>
    <row r="18" spans="1:76" ht="14.6" x14ac:dyDescent="0.4">
      <c r="A18" s="2" t="s">
        <v>75</v>
      </c>
      <c r="B18" s="3" t="s">
        <v>57</v>
      </c>
      <c r="C18" s="3" t="s">
        <v>76</v>
      </c>
      <c r="D18" s="84" t="s">
        <v>77</v>
      </c>
      <c r="E18" s="85"/>
      <c r="F18" s="3" t="s">
        <v>64</v>
      </c>
      <c r="G18" s="35">
        <v>32.4</v>
      </c>
      <c r="H18" s="82"/>
      <c r="I18" s="36" t="s">
        <v>65</v>
      </c>
      <c r="J18" s="35">
        <f>G18*AO18</f>
        <v>0</v>
      </c>
      <c r="K18" s="35">
        <f>G18*AP18</f>
        <v>0</v>
      </c>
      <c r="L18" s="35">
        <f>G18*H18</f>
        <v>0</v>
      </c>
      <c r="M18" s="35">
        <f>L18*(1+BW18/100)</f>
        <v>0</v>
      </c>
      <c r="N18" s="35">
        <v>0.22500000000000001</v>
      </c>
      <c r="O18" s="35">
        <f>G18*N18</f>
        <v>7.29</v>
      </c>
      <c r="P18" s="37" t="s">
        <v>66</v>
      </c>
      <c r="Z18" s="35">
        <f>IF(AQ18="5",BJ18,0)</f>
        <v>0</v>
      </c>
      <c r="AB18" s="35">
        <f>IF(AQ18="1",BH18,0)</f>
        <v>0</v>
      </c>
      <c r="AC18" s="35">
        <f>IF(AQ18="1",BI18,0)</f>
        <v>0</v>
      </c>
      <c r="AD18" s="35">
        <f>IF(AQ18="7",BH18,0)</f>
        <v>0</v>
      </c>
      <c r="AE18" s="35">
        <f>IF(AQ18="7",BI18,0)</f>
        <v>0</v>
      </c>
      <c r="AF18" s="35">
        <f>IF(AQ18="2",BH18,0)</f>
        <v>0</v>
      </c>
      <c r="AG18" s="35">
        <f>IF(AQ18="2",BI18,0)</f>
        <v>0</v>
      </c>
      <c r="AH18" s="35">
        <f>IF(AQ18="0",BJ18,0)</f>
        <v>0</v>
      </c>
      <c r="AI18" s="12" t="s">
        <v>57</v>
      </c>
      <c r="AJ18" s="35">
        <f>IF(AN18=0,L18,0)</f>
        <v>0</v>
      </c>
      <c r="AK18" s="35">
        <f>IF(AN18=12,L18,0)</f>
        <v>0</v>
      </c>
      <c r="AL18" s="35">
        <f>IF(AN18=21,L18,0)</f>
        <v>0</v>
      </c>
      <c r="AN18" s="35">
        <v>21</v>
      </c>
      <c r="AO18" s="35">
        <f>H18*0</f>
        <v>0</v>
      </c>
      <c r="AP18" s="35">
        <f>H18*(1-0)</f>
        <v>0</v>
      </c>
      <c r="AQ18" s="36" t="s">
        <v>61</v>
      </c>
      <c r="AV18" s="35">
        <f>AW18+AX18</f>
        <v>0</v>
      </c>
      <c r="AW18" s="35">
        <f>G18*AO18</f>
        <v>0</v>
      </c>
      <c r="AX18" s="35">
        <f>G18*AP18</f>
        <v>0</v>
      </c>
      <c r="AY18" s="36" t="s">
        <v>67</v>
      </c>
      <c r="AZ18" s="36" t="s">
        <v>68</v>
      </c>
      <c r="BA18" s="12" t="s">
        <v>69</v>
      </c>
      <c r="BC18" s="35">
        <f>AW18+AX18</f>
        <v>0</v>
      </c>
      <c r="BD18" s="35">
        <f>H18/(100-BE18)*100</f>
        <v>0</v>
      </c>
      <c r="BE18" s="35">
        <v>0</v>
      </c>
      <c r="BF18" s="35">
        <f>O18</f>
        <v>7.29</v>
      </c>
      <c r="BH18" s="35">
        <f>G18*AO18</f>
        <v>0</v>
      </c>
      <c r="BI18" s="35">
        <f>G18*AP18</f>
        <v>0</v>
      </c>
      <c r="BJ18" s="35">
        <f>G18*H18</f>
        <v>0</v>
      </c>
      <c r="BK18" s="35"/>
      <c r="BL18" s="35">
        <v>11</v>
      </c>
      <c r="BW18" s="35" t="str">
        <f>I18</f>
        <v>21</v>
      </c>
      <c r="BX18" s="4" t="s">
        <v>77</v>
      </c>
    </row>
    <row r="19" spans="1:76" ht="14.6" x14ac:dyDescent="0.4">
      <c r="A19" s="38"/>
      <c r="D19" s="39" t="s">
        <v>78</v>
      </c>
      <c r="E19" s="40" t="s">
        <v>56</v>
      </c>
      <c r="G19" s="41">
        <v>32.4</v>
      </c>
      <c r="P19" s="42"/>
    </row>
    <row r="20" spans="1:76" ht="14.6" x14ac:dyDescent="0.4">
      <c r="A20" s="2" t="s">
        <v>79</v>
      </c>
      <c r="B20" s="3" t="s">
        <v>57</v>
      </c>
      <c r="C20" s="3" t="s">
        <v>80</v>
      </c>
      <c r="D20" s="84" t="s">
        <v>81</v>
      </c>
      <c r="E20" s="85"/>
      <c r="F20" s="3" t="s">
        <v>64</v>
      </c>
      <c r="G20" s="35">
        <v>12</v>
      </c>
      <c r="H20" s="82"/>
      <c r="I20" s="36" t="s">
        <v>65</v>
      </c>
      <c r="J20" s="35">
        <f>G20*AO20</f>
        <v>0</v>
      </c>
      <c r="K20" s="35">
        <f>G20*AP20</f>
        <v>0</v>
      </c>
      <c r="L20" s="35">
        <f>G20*H20</f>
        <v>0</v>
      </c>
      <c r="M20" s="35">
        <f>L20*(1+BW20/100)</f>
        <v>0</v>
      </c>
      <c r="N20" s="35">
        <v>0.90010000000000001</v>
      </c>
      <c r="O20" s="35">
        <f>G20*N20</f>
        <v>10.8012</v>
      </c>
      <c r="P20" s="37" t="s">
        <v>66</v>
      </c>
      <c r="Z20" s="35">
        <f>IF(AQ20="5",BJ20,0)</f>
        <v>0</v>
      </c>
      <c r="AB20" s="35">
        <f>IF(AQ20="1",BH20,0)</f>
        <v>0</v>
      </c>
      <c r="AC20" s="35">
        <f>IF(AQ20="1",BI20,0)</f>
        <v>0</v>
      </c>
      <c r="AD20" s="35">
        <f>IF(AQ20="7",BH20,0)</f>
        <v>0</v>
      </c>
      <c r="AE20" s="35">
        <f>IF(AQ20="7",BI20,0)</f>
        <v>0</v>
      </c>
      <c r="AF20" s="35">
        <f>IF(AQ20="2",BH20,0)</f>
        <v>0</v>
      </c>
      <c r="AG20" s="35">
        <f>IF(AQ20="2",BI20,0)</f>
        <v>0</v>
      </c>
      <c r="AH20" s="35">
        <f>IF(AQ20="0",BJ20,0)</f>
        <v>0</v>
      </c>
      <c r="AI20" s="12" t="s">
        <v>57</v>
      </c>
      <c r="AJ20" s="35">
        <f>IF(AN20=0,L20,0)</f>
        <v>0</v>
      </c>
      <c r="AK20" s="35">
        <f>IF(AN20=12,L20,0)</f>
        <v>0</v>
      </c>
      <c r="AL20" s="35">
        <f>IF(AN20=21,L20,0)</f>
        <v>0</v>
      </c>
      <c r="AN20" s="35">
        <v>21</v>
      </c>
      <c r="AO20" s="35">
        <f>H20*0.006093624</f>
        <v>0</v>
      </c>
      <c r="AP20" s="35">
        <f>H20*(1-0.006093624)</f>
        <v>0</v>
      </c>
      <c r="AQ20" s="36" t="s">
        <v>61</v>
      </c>
      <c r="AV20" s="35">
        <f>AW20+AX20</f>
        <v>0</v>
      </c>
      <c r="AW20" s="35">
        <f>G20*AO20</f>
        <v>0</v>
      </c>
      <c r="AX20" s="35">
        <f>G20*AP20</f>
        <v>0</v>
      </c>
      <c r="AY20" s="36" t="s">
        <v>67</v>
      </c>
      <c r="AZ20" s="36" t="s">
        <v>68</v>
      </c>
      <c r="BA20" s="12" t="s">
        <v>69</v>
      </c>
      <c r="BC20" s="35">
        <f>AW20+AX20</f>
        <v>0</v>
      </c>
      <c r="BD20" s="35">
        <f>H20/(100-BE20)*100</f>
        <v>0</v>
      </c>
      <c r="BE20" s="35">
        <v>0</v>
      </c>
      <c r="BF20" s="35">
        <f>O20</f>
        <v>10.8012</v>
      </c>
      <c r="BH20" s="35">
        <f>G20*AO20</f>
        <v>0</v>
      </c>
      <c r="BI20" s="35">
        <f>G20*AP20</f>
        <v>0</v>
      </c>
      <c r="BJ20" s="35">
        <f>G20*H20</f>
        <v>0</v>
      </c>
      <c r="BK20" s="35"/>
      <c r="BL20" s="35">
        <v>11</v>
      </c>
      <c r="BW20" s="35" t="str">
        <f>I20</f>
        <v>21</v>
      </c>
      <c r="BX20" s="4" t="s">
        <v>81</v>
      </c>
    </row>
    <row r="21" spans="1:76" ht="13.5" customHeight="1" x14ac:dyDescent="0.4">
      <c r="A21" s="38"/>
      <c r="C21" s="43" t="s">
        <v>82</v>
      </c>
      <c r="D21" s="94" t="s">
        <v>83</v>
      </c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6"/>
    </row>
    <row r="22" spans="1:76" ht="14.6" x14ac:dyDescent="0.4">
      <c r="A22" s="38"/>
      <c r="D22" s="39" t="s">
        <v>84</v>
      </c>
      <c r="E22" s="40" t="s">
        <v>56</v>
      </c>
      <c r="G22" s="41">
        <v>12</v>
      </c>
      <c r="P22" s="42"/>
    </row>
    <row r="23" spans="1:76" ht="13.5" customHeight="1" x14ac:dyDescent="0.4">
      <c r="A23" s="38"/>
      <c r="C23" s="44" t="s">
        <v>85</v>
      </c>
      <c r="D23" s="86" t="s">
        <v>86</v>
      </c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8"/>
    </row>
    <row r="24" spans="1:76" ht="14.6" x14ac:dyDescent="0.4">
      <c r="A24" s="2" t="s">
        <v>87</v>
      </c>
      <c r="B24" s="3" t="s">
        <v>57</v>
      </c>
      <c r="C24" s="3" t="s">
        <v>88</v>
      </c>
      <c r="D24" s="84" t="s">
        <v>89</v>
      </c>
      <c r="E24" s="85"/>
      <c r="F24" s="3" t="s">
        <v>64</v>
      </c>
      <c r="G24" s="35">
        <v>5.25</v>
      </c>
      <c r="H24" s="82"/>
      <c r="I24" s="36" t="s">
        <v>65</v>
      </c>
      <c r="J24" s="35">
        <f>G24*AO24</f>
        <v>0</v>
      </c>
      <c r="K24" s="35">
        <f>G24*AP24</f>
        <v>0</v>
      </c>
      <c r="L24" s="35">
        <f>G24*H24</f>
        <v>0</v>
      </c>
      <c r="M24" s="35">
        <f>L24*(1+BW24/100)</f>
        <v>0</v>
      </c>
      <c r="N24" s="35">
        <v>0.33</v>
      </c>
      <c r="O24" s="35">
        <f>G24*N24</f>
        <v>1.7325000000000002</v>
      </c>
      <c r="P24" s="37" t="s">
        <v>66</v>
      </c>
      <c r="Z24" s="35">
        <f>IF(AQ24="5",BJ24,0)</f>
        <v>0</v>
      </c>
      <c r="AB24" s="35">
        <f>IF(AQ24="1",BH24,0)</f>
        <v>0</v>
      </c>
      <c r="AC24" s="35">
        <f>IF(AQ24="1",BI24,0)</f>
        <v>0</v>
      </c>
      <c r="AD24" s="35">
        <f>IF(AQ24="7",BH24,0)</f>
        <v>0</v>
      </c>
      <c r="AE24" s="35">
        <f>IF(AQ24="7",BI24,0)</f>
        <v>0</v>
      </c>
      <c r="AF24" s="35">
        <f>IF(AQ24="2",BH24,0)</f>
        <v>0</v>
      </c>
      <c r="AG24" s="35">
        <f>IF(AQ24="2",BI24,0)</f>
        <v>0</v>
      </c>
      <c r="AH24" s="35">
        <f>IF(AQ24="0",BJ24,0)</f>
        <v>0</v>
      </c>
      <c r="AI24" s="12" t="s">
        <v>57</v>
      </c>
      <c r="AJ24" s="35">
        <f>IF(AN24=0,L24,0)</f>
        <v>0</v>
      </c>
      <c r="AK24" s="35">
        <f>IF(AN24=12,L24,0)</f>
        <v>0</v>
      </c>
      <c r="AL24" s="35">
        <f>IF(AN24=21,L24,0)</f>
        <v>0</v>
      </c>
      <c r="AN24" s="35">
        <v>21</v>
      </c>
      <c r="AO24" s="35">
        <f>H24*0</f>
        <v>0</v>
      </c>
      <c r="AP24" s="35">
        <f>H24*(1-0)</f>
        <v>0</v>
      </c>
      <c r="AQ24" s="36" t="s">
        <v>61</v>
      </c>
      <c r="AV24" s="35">
        <f>AW24+AX24</f>
        <v>0</v>
      </c>
      <c r="AW24" s="35">
        <f>G24*AO24</f>
        <v>0</v>
      </c>
      <c r="AX24" s="35">
        <f>G24*AP24</f>
        <v>0</v>
      </c>
      <c r="AY24" s="36" t="s">
        <v>67</v>
      </c>
      <c r="AZ24" s="36" t="s">
        <v>68</v>
      </c>
      <c r="BA24" s="12" t="s">
        <v>69</v>
      </c>
      <c r="BC24" s="35">
        <f>AW24+AX24</f>
        <v>0</v>
      </c>
      <c r="BD24" s="35">
        <f>H24/(100-BE24)*100</f>
        <v>0</v>
      </c>
      <c r="BE24" s="35">
        <v>0</v>
      </c>
      <c r="BF24" s="35">
        <f>O24</f>
        <v>1.7325000000000002</v>
      </c>
      <c r="BH24" s="35">
        <f>G24*AO24</f>
        <v>0</v>
      </c>
      <c r="BI24" s="35">
        <f>G24*AP24</f>
        <v>0</v>
      </c>
      <c r="BJ24" s="35">
        <f>G24*H24</f>
        <v>0</v>
      </c>
      <c r="BK24" s="35"/>
      <c r="BL24" s="35">
        <v>11</v>
      </c>
      <c r="BW24" s="35" t="str">
        <f>I24</f>
        <v>21</v>
      </c>
      <c r="BX24" s="4" t="s">
        <v>89</v>
      </c>
    </row>
    <row r="25" spans="1:76" ht="13.5" customHeight="1" x14ac:dyDescent="0.4">
      <c r="A25" s="38"/>
      <c r="C25" s="43" t="s">
        <v>82</v>
      </c>
      <c r="D25" s="94" t="s">
        <v>90</v>
      </c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6"/>
    </row>
    <row r="26" spans="1:76" ht="14.6" x14ac:dyDescent="0.4">
      <c r="A26" s="38"/>
      <c r="D26" s="39" t="s">
        <v>91</v>
      </c>
      <c r="E26" s="40" t="s">
        <v>56</v>
      </c>
      <c r="G26" s="41">
        <v>5.25</v>
      </c>
      <c r="P26" s="42"/>
    </row>
    <row r="27" spans="1:76" ht="14.6" x14ac:dyDescent="0.4">
      <c r="A27" s="2" t="s">
        <v>92</v>
      </c>
      <c r="B27" s="3" t="s">
        <v>57</v>
      </c>
      <c r="C27" s="3" t="s">
        <v>93</v>
      </c>
      <c r="D27" s="84" t="s">
        <v>94</v>
      </c>
      <c r="E27" s="85"/>
      <c r="F27" s="3" t="s">
        <v>64</v>
      </c>
      <c r="G27" s="35">
        <v>5.25</v>
      </c>
      <c r="H27" s="82"/>
      <c r="I27" s="36" t="s">
        <v>65</v>
      </c>
      <c r="J27" s="35">
        <f>G27*AO27</f>
        <v>0</v>
      </c>
      <c r="K27" s="35">
        <f>G27*AP27</f>
        <v>0</v>
      </c>
      <c r="L27" s="35">
        <f>G27*H27</f>
        <v>0</v>
      </c>
      <c r="M27" s="35">
        <f>L27*(1+BW27/100)</f>
        <v>0</v>
      </c>
      <c r="N27" s="35">
        <v>0.44</v>
      </c>
      <c r="O27" s="35">
        <f>G27*N27</f>
        <v>2.31</v>
      </c>
      <c r="P27" s="37" t="s">
        <v>66</v>
      </c>
      <c r="Z27" s="35">
        <f>IF(AQ27="5",BJ27,0)</f>
        <v>0</v>
      </c>
      <c r="AB27" s="35">
        <f>IF(AQ27="1",BH27,0)</f>
        <v>0</v>
      </c>
      <c r="AC27" s="35">
        <f>IF(AQ27="1",BI27,0)</f>
        <v>0</v>
      </c>
      <c r="AD27" s="35">
        <f>IF(AQ27="7",BH27,0)</f>
        <v>0</v>
      </c>
      <c r="AE27" s="35">
        <f>IF(AQ27="7",BI27,0)</f>
        <v>0</v>
      </c>
      <c r="AF27" s="35">
        <f>IF(AQ27="2",BH27,0)</f>
        <v>0</v>
      </c>
      <c r="AG27" s="35">
        <f>IF(AQ27="2",BI27,0)</f>
        <v>0</v>
      </c>
      <c r="AH27" s="35">
        <f>IF(AQ27="0",BJ27,0)</f>
        <v>0</v>
      </c>
      <c r="AI27" s="12" t="s">
        <v>57</v>
      </c>
      <c r="AJ27" s="35">
        <f>IF(AN27=0,L27,0)</f>
        <v>0</v>
      </c>
      <c r="AK27" s="35">
        <f>IF(AN27=12,L27,0)</f>
        <v>0</v>
      </c>
      <c r="AL27" s="35">
        <f>IF(AN27=21,L27,0)</f>
        <v>0</v>
      </c>
      <c r="AN27" s="35">
        <v>21</v>
      </c>
      <c r="AO27" s="35">
        <f>H27*0</f>
        <v>0</v>
      </c>
      <c r="AP27" s="35">
        <f>H27*(1-0)</f>
        <v>0</v>
      </c>
      <c r="AQ27" s="36" t="s">
        <v>61</v>
      </c>
      <c r="AV27" s="35">
        <f>AW27+AX27</f>
        <v>0</v>
      </c>
      <c r="AW27" s="35">
        <f>G27*AO27</f>
        <v>0</v>
      </c>
      <c r="AX27" s="35">
        <f>G27*AP27</f>
        <v>0</v>
      </c>
      <c r="AY27" s="36" t="s">
        <v>67</v>
      </c>
      <c r="AZ27" s="36" t="s">
        <v>68</v>
      </c>
      <c r="BA27" s="12" t="s">
        <v>69</v>
      </c>
      <c r="BC27" s="35">
        <f>AW27+AX27</f>
        <v>0</v>
      </c>
      <c r="BD27" s="35">
        <f>H27/(100-BE27)*100</f>
        <v>0</v>
      </c>
      <c r="BE27" s="35">
        <v>0</v>
      </c>
      <c r="BF27" s="35">
        <f>O27</f>
        <v>2.31</v>
      </c>
      <c r="BH27" s="35">
        <f>G27*AO27</f>
        <v>0</v>
      </c>
      <c r="BI27" s="35">
        <f>G27*AP27</f>
        <v>0</v>
      </c>
      <c r="BJ27" s="35">
        <f>G27*H27</f>
        <v>0</v>
      </c>
      <c r="BK27" s="35"/>
      <c r="BL27" s="35">
        <v>11</v>
      </c>
      <c r="BW27" s="35" t="str">
        <f>I27</f>
        <v>21</v>
      </c>
      <c r="BX27" s="4" t="s">
        <v>94</v>
      </c>
    </row>
    <row r="28" spans="1:76" ht="13.5" customHeight="1" x14ac:dyDescent="0.4">
      <c r="A28" s="38"/>
      <c r="C28" s="43" t="s">
        <v>82</v>
      </c>
      <c r="D28" s="94" t="s">
        <v>90</v>
      </c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6"/>
    </row>
    <row r="29" spans="1:76" ht="14.6" x14ac:dyDescent="0.4">
      <c r="A29" s="38"/>
      <c r="D29" s="39" t="s">
        <v>91</v>
      </c>
      <c r="E29" s="40" t="s">
        <v>56</v>
      </c>
      <c r="G29" s="41">
        <v>5.25</v>
      </c>
      <c r="P29" s="42"/>
    </row>
    <row r="30" spans="1:76" ht="14.6" x14ac:dyDescent="0.4">
      <c r="A30" s="2" t="s">
        <v>95</v>
      </c>
      <c r="B30" s="3" t="s">
        <v>57</v>
      </c>
      <c r="C30" s="3" t="s">
        <v>96</v>
      </c>
      <c r="D30" s="84" t="s">
        <v>97</v>
      </c>
      <c r="E30" s="85"/>
      <c r="F30" s="3" t="s">
        <v>98</v>
      </c>
      <c r="G30" s="35">
        <v>324.39999999999998</v>
      </c>
      <c r="H30" s="82"/>
      <c r="I30" s="36" t="s">
        <v>65</v>
      </c>
      <c r="J30" s="35">
        <f>G30*AO30</f>
        <v>0</v>
      </c>
      <c r="K30" s="35">
        <f>G30*AP30</f>
        <v>0</v>
      </c>
      <c r="L30" s="35">
        <f>G30*H30</f>
        <v>0</v>
      </c>
      <c r="M30" s="35">
        <f>L30*(1+BW30/100)</f>
        <v>0</v>
      </c>
      <c r="N30" s="35">
        <v>0.27</v>
      </c>
      <c r="O30" s="35">
        <f>G30*N30</f>
        <v>87.587999999999994</v>
      </c>
      <c r="P30" s="37" t="s">
        <v>66</v>
      </c>
      <c r="Z30" s="35">
        <f>IF(AQ30="5",BJ30,0)</f>
        <v>0</v>
      </c>
      <c r="AB30" s="35">
        <f>IF(AQ30="1",BH30,0)</f>
        <v>0</v>
      </c>
      <c r="AC30" s="35">
        <f>IF(AQ30="1",BI30,0)</f>
        <v>0</v>
      </c>
      <c r="AD30" s="35">
        <f>IF(AQ30="7",BH30,0)</f>
        <v>0</v>
      </c>
      <c r="AE30" s="35">
        <f>IF(AQ30="7",BI30,0)</f>
        <v>0</v>
      </c>
      <c r="AF30" s="35">
        <f>IF(AQ30="2",BH30,0)</f>
        <v>0</v>
      </c>
      <c r="AG30" s="35">
        <f>IF(AQ30="2",BI30,0)</f>
        <v>0</v>
      </c>
      <c r="AH30" s="35">
        <f>IF(AQ30="0",BJ30,0)</f>
        <v>0</v>
      </c>
      <c r="AI30" s="12" t="s">
        <v>57</v>
      </c>
      <c r="AJ30" s="35">
        <f>IF(AN30=0,L30,0)</f>
        <v>0</v>
      </c>
      <c r="AK30" s="35">
        <f>IF(AN30=12,L30,0)</f>
        <v>0</v>
      </c>
      <c r="AL30" s="35">
        <f>IF(AN30=21,L30,0)</f>
        <v>0</v>
      </c>
      <c r="AN30" s="35">
        <v>21</v>
      </c>
      <c r="AO30" s="35">
        <f>H30*0</f>
        <v>0</v>
      </c>
      <c r="AP30" s="35">
        <f>H30*(1-0)</f>
        <v>0</v>
      </c>
      <c r="AQ30" s="36" t="s">
        <v>61</v>
      </c>
      <c r="AV30" s="35">
        <f>AW30+AX30</f>
        <v>0</v>
      </c>
      <c r="AW30" s="35">
        <f>G30*AO30</f>
        <v>0</v>
      </c>
      <c r="AX30" s="35">
        <f>G30*AP30</f>
        <v>0</v>
      </c>
      <c r="AY30" s="36" t="s">
        <v>67</v>
      </c>
      <c r="AZ30" s="36" t="s">
        <v>68</v>
      </c>
      <c r="BA30" s="12" t="s">
        <v>69</v>
      </c>
      <c r="BC30" s="35">
        <f>AW30+AX30</f>
        <v>0</v>
      </c>
      <c r="BD30" s="35">
        <f>H30/(100-BE30)*100</f>
        <v>0</v>
      </c>
      <c r="BE30" s="35">
        <v>0</v>
      </c>
      <c r="BF30" s="35">
        <f>O30</f>
        <v>87.587999999999994</v>
      </c>
      <c r="BH30" s="35">
        <f>G30*AO30</f>
        <v>0</v>
      </c>
      <c r="BI30" s="35">
        <f>G30*AP30</f>
        <v>0</v>
      </c>
      <c r="BJ30" s="35">
        <f>G30*H30</f>
        <v>0</v>
      </c>
      <c r="BK30" s="35"/>
      <c r="BL30" s="35">
        <v>11</v>
      </c>
      <c r="BW30" s="35" t="str">
        <f>I30</f>
        <v>21</v>
      </c>
      <c r="BX30" s="4" t="s">
        <v>97</v>
      </c>
    </row>
    <row r="31" spans="1:76" ht="13.5" customHeight="1" x14ac:dyDescent="0.4">
      <c r="A31" s="38"/>
      <c r="C31" s="43" t="s">
        <v>82</v>
      </c>
      <c r="D31" s="94" t="s">
        <v>99</v>
      </c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6"/>
    </row>
    <row r="32" spans="1:76" ht="14.6" x14ac:dyDescent="0.4">
      <c r="A32" s="38"/>
      <c r="D32" s="39" t="s">
        <v>100</v>
      </c>
      <c r="E32" s="40" t="s">
        <v>56</v>
      </c>
      <c r="G32" s="41">
        <v>324.39999999999998</v>
      </c>
      <c r="P32" s="42"/>
    </row>
    <row r="33" spans="1:76" ht="14.6" x14ac:dyDescent="0.4">
      <c r="A33" s="2" t="s">
        <v>101</v>
      </c>
      <c r="B33" s="3" t="s">
        <v>57</v>
      </c>
      <c r="C33" s="3" t="s">
        <v>102</v>
      </c>
      <c r="D33" s="84" t="s">
        <v>103</v>
      </c>
      <c r="E33" s="85"/>
      <c r="F33" s="3" t="s">
        <v>98</v>
      </c>
      <c r="G33" s="35">
        <v>100</v>
      </c>
      <c r="H33" s="82"/>
      <c r="I33" s="36" t="s">
        <v>65</v>
      </c>
      <c r="J33" s="35">
        <f>G33*AO33</f>
        <v>0</v>
      </c>
      <c r="K33" s="35">
        <f>G33*AP33</f>
        <v>0</v>
      </c>
      <c r="L33" s="35">
        <f>G33*H33</f>
        <v>0</v>
      </c>
      <c r="M33" s="35">
        <f>L33*(1+BW33/100)</f>
        <v>0</v>
      </c>
      <c r="N33" s="35">
        <v>3.9730000000000001E-2</v>
      </c>
      <c r="O33" s="35">
        <f>G33*N33</f>
        <v>3.9730000000000003</v>
      </c>
      <c r="P33" s="37" t="s">
        <v>66</v>
      </c>
      <c r="Z33" s="35">
        <f>IF(AQ33="5",BJ33,0)</f>
        <v>0</v>
      </c>
      <c r="AB33" s="35">
        <f>IF(AQ33="1",BH33,0)</f>
        <v>0</v>
      </c>
      <c r="AC33" s="35">
        <f>IF(AQ33="1",BI33,0)</f>
        <v>0</v>
      </c>
      <c r="AD33" s="35">
        <f>IF(AQ33="7",BH33,0)</f>
        <v>0</v>
      </c>
      <c r="AE33" s="35">
        <f>IF(AQ33="7",BI33,0)</f>
        <v>0</v>
      </c>
      <c r="AF33" s="35">
        <f>IF(AQ33="2",BH33,0)</f>
        <v>0</v>
      </c>
      <c r="AG33" s="35">
        <f>IF(AQ33="2",BI33,0)</f>
        <v>0</v>
      </c>
      <c r="AH33" s="35">
        <f>IF(AQ33="0",BJ33,0)</f>
        <v>0</v>
      </c>
      <c r="AI33" s="12" t="s">
        <v>57</v>
      </c>
      <c r="AJ33" s="35">
        <f>IF(AN33=0,L33,0)</f>
        <v>0</v>
      </c>
      <c r="AK33" s="35">
        <f>IF(AN33=12,L33,0)</f>
        <v>0</v>
      </c>
      <c r="AL33" s="35">
        <f>IF(AN33=21,L33,0)</f>
        <v>0</v>
      </c>
      <c r="AN33" s="35">
        <v>21</v>
      </c>
      <c r="AO33" s="35">
        <f>H33*0.282387161</f>
        <v>0</v>
      </c>
      <c r="AP33" s="35">
        <f>H33*(1-0.282387161)</f>
        <v>0</v>
      </c>
      <c r="AQ33" s="36" t="s">
        <v>61</v>
      </c>
      <c r="AV33" s="35">
        <f>AW33+AX33</f>
        <v>0</v>
      </c>
      <c r="AW33" s="35">
        <f>G33*AO33</f>
        <v>0</v>
      </c>
      <c r="AX33" s="35">
        <f>G33*AP33</f>
        <v>0</v>
      </c>
      <c r="AY33" s="36" t="s">
        <v>67</v>
      </c>
      <c r="AZ33" s="36" t="s">
        <v>68</v>
      </c>
      <c r="BA33" s="12" t="s">
        <v>69</v>
      </c>
      <c r="BC33" s="35">
        <f>AW33+AX33</f>
        <v>0</v>
      </c>
      <c r="BD33" s="35">
        <f>H33/(100-BE33)*100</f>
        <v>0</v>
      </c>
      <c r="BE33" s="35">
        <v>0</v>
      </c>
      <c r="BF33" s="35">
        <f>O33</f>
        <v>3.9730000000000003</v>
      </c>
      <c r="BH33" s="35">
        <f>G33*AO33</f>
        <v>0</v>
      </c>
      <c r="BI33" s="35">
        <f>G33*AP33</f>
        <v>0</v>
      </c>
      <c r="BJ33" s="35">
        <f>G33*H33</f>
        <v>0</v>
      </c>
      <c r="BK33" s="35"/>
      <c r="BL33" s="35">
        <v>11</v>
      </c>
      <c r="BW33" s="35" t="str">
        <f>I33</f>
        <v>21</v>
      </c>
      <c r="BX33" s="4" t="s">
        <v>103</v>
      </c>
    </row>
    <row r="34" spans="1:76" ht="14.6" x14ac:dyDescent="0.4">
      <c r="A34" s="31" t="s">
        <v>56</v>
      </c>
      <c r="B34" s="32" t="s">
        <v>57</v>
      </c>
      <c r="C34" s="32" t="s">
        <v>104</v>
      </c>
      <c r="D34" s="89" t="s">
        <v>105</v>
      </c>
      <c r="E34" s="90"/>
      <c r="F34" s="33" t="s">
        <v>4</v>
      </c>
      <c r="G34" s="33" t="s">
        <v>4</v>
      </c>
      <c r="H34" s="33" t="s">
        <v>4</v>
      </c>
      <c r="I34" s="33" t="s">
        <v>4</v>
      </c>
      <c r="J34" s="1">
        <f>SUM(J35:J41)</f>
        <v>0</v>
      </c>
      <c r="K34" s="1">
        <f>SUM(K35:K41)</f>
        <v>0</v>
      </c>
      <c r="L34" s="1">
        <f>SUM(L35:L41)</f>
        <v>0</v>
      </c>
      <c r="M34" s="1">
        <f>SUM(M35:M41)</f>
        <v>0</v>
      </c>
      <c r="N34" s="12" t="s">
        <v>56</v>
      </c>
      <c r="O34" s="1">
        <f>SUM(O35:O41)</f>
        <v>0</v>
      </c>
      <c r="P34" s="34" t="s">
        <v>56</v>
      </c>
      <c r="AI34" s="12" t="s">
        <v>57</v>
      </c>
      <c r="AS34" s="1">
        <f>SUM(AJ35:AJ41)</f>
        <v>0</v>
      </c>
      <c r="AT34" s="1">
        <f>SUM(AK35:AK41)</f>
        <v>0</v>
      </c>
      <c r="AU34" s="1">
        <f>SUM(AL35:AL41)</f>
        <v>0</v>
      </c>
    </row>
    <row r="35" spans="1:76" ht="14.6" x14ac:dyDescent="0.4">
      <c r="A35" s="2" t="s">
        <v>106</v>
      </c>
      <c r="B35" s="3" t="s">
        <v>57</v>
      </c>
      <c r="C35" s="3" t="s">
        <v>107</v>
      </c>
      <c r="D35" s="84" t="s">
        <v>108</v>
      </c>
      <c r="E35" s="85"/>
      <c r="F35" s="3" t="s">
        <v>109</v>
      </c>
      <c r="G35" s="35">
        <v>20.25</v>
      </c>
      <c r="H35" s="82"/>
      <c r="I35" s="36" t="s">
        <v>65</v>
      </c>
      <c r="J35" s="35">
        <f>G35*AO35</f>
        <v>0</v>
      </c>
      <c r="K35" s="35">
        <f>G35*AP35</f>
        <v>0</v>
      </c>
      <c r="L35" s="35">
        <f>G35*H35</f>
        <v>0</v>
      </c>
      <c r="M35" s="35">
        <f>L35*(1+BW35/100)</f>
        <v>0</v>
      </c>
      <c r="N35" s="35">
        <v>0</v>
      </c>
      <c r="O35" s="35">
        <f>G35*N35</f>
        <v>0</v>
      </c>
      <c r="P35" s="37" t="s">
        <v>66</v>
      </c>
      <c r="Z35" s="35">
        <f>IF(AQ35="5",BJ35,0)</f>
        <v>0</v>
      </c>
      <c r="AB35" s="35">
        <f>IF(AQ35="1",BH35,0)</f>
        <v>0</v>
      </c>
      <c r="AC35" s="35">
        <f>IF(AQ35="1",BI35,0)</f>
        <v>0</v>
      </c>
      <c r="AD35" s="35">
        <f>IF(AQ35="7",BH35,0)</f>
        <v>0</v>
      </c>
      <c r="AE35" s="35">
        <f>IF(AQ35="7",BI35,0)</f>
        <v>0</v>
      </c>
      <c r="AF35" s="35">
        <f>IF(AQ35="2",BH35,0)</f>
        <v>0</v>
      </c>
      <c r="AG35" s="35">
        <f>IF(AQ35="2",BI35,0)</f>
        <v>0</v>
      </c>
      <c r="AH35" s="35">
        <f>IF(AQ35="0",BJ35,0)</f>
        <v>0</v>
      </c>
      <c r="AI35" s="12" t="s">
        <v>57</v>
      </c>
      <c r="AJ35" s="35">
        <f>IF(AN35=0,L35,0)</f>
        <v>0</v>
      </c>
      <c r="AK35" s="35">
        <f>IF(AN35=12,L35,0)</f>
        <v>0</v>
      </c>
      <c r="AL35" s="35">
        <f>IF(AN35=21,L35,0)</f>
        <v>0</v>
      </c>
      <c r="AN35" s="35">
        <v>21</v>
      </c>
      <c r="AO35" s="35">
        <f>H35*0</f>
        <v>0</v>
      </c>
      <c r="AP35" s="35">
        <f>H35*(1-0)</f>
        <v>0</v>
      </c>
      <c r="AQ35" s="36" t="s">
        <v>61</v>
      </c>
      <c r="AV35" s="35">
        <f>AW35+AX35</f>
        <v>0</v>
      </c>
      <c r="AW35" s="35">
        <f>G35*AO35</f>
        <v>0</v>
      </c>
      <c r="AX35" s="35">
        <f>G35*AP35</f>
        <v>0</v>
      </c>
      <c r="AY35" s="36" t="s">
        <v>110</v>
      </c>
      <c r="AZ35" s="36" t="s">
        <v>68</v>
      </c>
      <c r="BA35" s="12" t="s">
        <v>69</v>
      </c>
      <c r="BC35" s="35">
        <f>AW35+AX35</f>
        <v>0</v>
      </c>
      <c r="BD35" s="35">
        <f>H35/(100-BE35)*100</f>
        <v>0</v>
      </c>
      <c r="BE35" s="35">
        <v>0</v>
      </c>
      <c r="BF35" s="35">
        <f>O35</f>
        <v>0</v>
      </c>
      <c r="BH35" s="35">
        <f>G35*AO35</f>
        <v>0</v>
      </c>
      <c r="BI35" s="35">
        <f>G35*AP35</f>
        <v>0</v>
      </c>
      <c r="BJ35" s="35">
        <f>G35*H35</f>
        <v>0</v>
      </c>
      <c r="BK35" s="35"/>
      <c r="BL35" s="35">
        <v>12</v>
      </c>
      <c r="BW35" s="35" t="str">
        <f>I35</f>
        <v>21</v>
      </c>
      <c r="BX35" s="4" t="s">
        <v>108</v>
      </c>
    </row>
    <row r="36" spans="1:76" ht="14.6" x14ac:dyDescent="0.4">
      <c r="A36" s="38"/>
      <c r="D36" s="39" t="s">
        <v>111</v>
      </c>
      <c r="E36" s="40" t="s">
        <v>56</v>
      </c>
      <c r="G36" s="41">
        <v>20.25</v>
      </c>
      <c r="P36" s="42"/>
    </row>
    <row r="37" spans="1:76" ht="14.6" x14ac:dyDescent="0.4">
      <c r="A37" s="2" t="s">
        <v>112</v>
      </c>
      <c r="B37" s="3" t="s">
        <v>57</v>
      </c>
      <c r="C37" s="3" t="s">
        <v>113</v>
      </c>
      <c r="D37" s="84" t="s">
        <v>114</v>
      </c>
      <c r="E37" s="85"/>
      <c r="F37" s="3" t="s">
        <v>109</v>
      </c>
      <c r="G37" s="35">
        <v>47.25</v>
      </c>
      <c r="H37" s="82"/>
      <c r="I37" s="36" t="s">
        <v>65</v>
      </c>
      <c r="J37" s="35">
        <f>G37*AO37</f>
        <v>0</v>
      </c>
      <c r="K37" s="35">
        <f>G37*AP37</f>
        <v>0</v>
      </c>
      <c r="L37" s="35">
        <f>G37*H37</f>
        <v>0</v>
      </c>
      <c r="M37" s="35">
        <f>L37*(1+BW37/100)</f>
        <v>0</v>
      </c>
      <c r="N37" s="35">
        <v>0</v>
      </c>
      <c r="O37" s="35">
        <f>G37*N37</f>
        <v>0</v>
      </c>
      <c r="P37" s="37" t="s">
        <v>66</v>
      </c>
      <c r="Z37" s="35">
        <f>IF(AQ37="5",BJ37,0)</f>
        <v>0</v>
      </c>
      <c r="AB37" s="35">
        <f>IF(AQ37="1",BH37,0)</f>
        <v>0</v>
      </c>
      <c r="AC37" s="35">
        <f>IF(AQ37="1",BI37,0)</f>
        <v>0</v>
      </c>
      <c r="AD37" s="35">
        <f>IF(AQ37="7",BH37,0)</f>
        <v>0</v>
      </c>
      <c r="AE37" s="35">
        <f>IF(AQ37="7",BI37,0)</f>
        <v>0</v>
      </c>
      <c r="AF37" s="35">
        <f>IF(AQ37="2",BH37,0)</f>
        <v>0</v>
      </c>
      <c r="AG37" s="35">
        <f>IF(AQ37="2",BI37,0)</f>
        <v>0</v>
      </c>
      <c r="AH37" s="35">
        <f>IF(AQ37="0",BJ37,0)</f>
        <v>0</v>
      </c>
      <c r="AI37" s="12" t="s">
        <v>57</v>
      </c>
      <c r="AJ37" s="35">
        <f>IF(AN37=0,L37,0)</f>
        <v>0</v>
      </c>
      <c r="AK37" s="35">
        <f>IF(AN37=12,L37,0)</f>
        <v>0</v>
      </c>
      <c r="AL37" s="35">
        <f>IF(AN37=21,L37,0)</f>
        <v>0</v>
      </c>
      <c r="AN37" s="35">
        <v>21</v>
      </c>
      <c r="AO37" s="35">
        <f>H37*0</f>
        <v>0</v>
      </c>
      <c r="AP37" s="35">
        <f>H37*(1-0)</f>
        <v>0</v>
      </c>
      <c r="AQ37" s="36" t="s">
        <v>61</v>
      </c>
      <c r="AV37" s="35">
        <f>AW37+AX37</f>
        <v>0</v>
      </c>
      <c r="AW37" s="35">
        <f>G37*AO37</f>
        <v>0</v>
      </c>
      <c r="AX37" s="35">
        <f>G37*AP37</f>
        <v>0</v>
      </c>
      <c r="AY37" s="36" t="s">
        <v>110</v>
      </c>
      <c r="AZ37" s="36" t="s">
        <v>68</v>
      </c>
      <c r="BA37" s="12" t="s">
        <v>69</v>
      </c>
      <c r="BC37" s="35">
        <f>AW37+AX37</f>
        <v>0</v>
      </c>
      <c r="BD37" s="35">
        <f>H37/(100-BE37)*100</f>
        <v>0</v>
      </c>
      <c r="BE37" s="35">
        <v>0</v>
      </c>
      <c r="BF37" s="35">
        <f>O37</f>
        <v>0</v>
      </c>
      <c r="BH37" s="35">
        <f>G37*AO37</f>
        <v>0</v>
      </c>
      <c r="BI37" s="35">
        <f>G37*AP37</f>
        <v>0</v>
      </c>
      <c r="BJ37" s="35">
        <f>G37*H37</f>
        <v>0</v>
      </c>
      <c r="BK37" s="35"/>
      <c r="BL37" s="35">
        <v>12</v>
      </c>
      <c r="BW37" s="35" t="str">
        <f>I37</f>
        <v>21</v>
      </c>
      <c r="BX37" s="4" t="s">
        <v>114</v>
      </c>
    </row>
    <row r="38" spans="1:76" ht="14.6" x14ac:dyDescent="0.4">
      <c r="A38" s="38"/>
      <c r="D38" s="39" t="s">
        <v>115</v>
      </c>
      <c r="E38" s="40" t="s">
        <v>56</v>
      </c>
      <c r="G38" s="41">
        <v>47.25</v>
      </c>
      <c r="P38" s="42"/>
    </row>
    <row r="39" spans="1:76" ht="14.6" x14ac:dyDescent="0.4">
      <c r="A39" s="2" t="s">
        <v>59</v>
      </c>
      <c r="B39" s="3" t="s">
        <v>57</v>
      </c>
      <c r="C39" s="3" t="s">
        <v>116</v>
      </c>
      <c r="D39" s="84" t="s">
        <v>117</v>
      </c>
      <c r="E39" s="85"/>
      <c r="F39" s="3" t="s">
        <v>109</v>
      </c>
      <c r="G39" s="35">
        <v>38.950000000000003</v>
      </c>
      <c r="H39" s="82"/>
      <c r="I39" s="36" t="s">
        <v>65</v>
      </c>
      <c r="J39" s="35">
        <f>G39*AO39</f>
        <v>0</v>
      </c>
      <c r="K39" s="35">
        <f>G39*AP39</f>
        <v>0</v>
      </c>
      <c r="L39" s="35">
        <f>G39*H39</f>
        <v>0</v>
      </c>
      <c r="M39" s="35">
        <f>L39*(1+BW39/100)</f>
        <v>0</v>
      </c>
      <c r="N39" s="35">
        <v>0</v>
      </c>
      <c r="O39" s="35">
        <f>G39*N39</f>
        <v>0</v>
      </c>
      <c r="P39" s="37" t="s">
        <v>66</v>
      </c>
      <c r="Z39" s="35">
        <f>IF(AQ39="5",BJ39,0)</f>
        <v>0</v>
      </c>
      <c r="AB39" s="35">
        <f>IF(AQ39="1",BH39,0)</f>
        <v>0</v>
      </c>
      <c r="AC39" s="35">
        <f>IF(AQ39="1",BI39,0)</f>
        <v>0</v>
      </c>
      <c r="AD39" s="35">
        <f>IF(AQ39="7",BH39,0)</f>
        <v>0</v>
      </c>
      <c r="AE39" s="35">
        <f>IF(AQ39="7",BI39,0)</f>
        <v>0</v>
      </c>
      <c r="AF39" s="35">
        <f>IF(AQ39="2",BH39,0)</f>
        <v>0</v>
      </c>
      <c r="AG39" s="35">
        <f>IF(AQ39="2",BI39,0)</f>
        <v>0</v>
      </c>
      <c r="AH39" s="35">
        <f>IF(AQ39="0",BJ39,0)</f>
        <v>0</v>
      </c>
      <c r="AI39" s="12" t="s">
        <v>57</v>
      </c>
      <c r="AJ39" s="35">
        <f>IF(AN39=0,L39,0)</f>
        <v>0</v>
      </c>
      <c r="AK39" s="35">
        <f>IF(AN39=12,L39,0)</f>
        <v>0</v>
      </c>
      <c r="AL39" s="35">
        <f>IF(AN39=21,L39,0)</f>
        <v>0</v>
      </c>
      <c r="AN39" s="35">
        <v>21</v>
      </c>
      <c r="AO39" s="35">
        <f>H39*0</f>
        <v>0</v>
      </c>
      <c r="AP39" s="35">
        <f>H39*(1-0)</f>
        <v>0</v>
      </c>
      <c r="AQ39" s="36" t="s">
        <v>61</v>
      </c>
      <c r="AV39" s="35">
        <f>AW39+AX39</f>
        <v>0</v>
      </c>
      <c r="AW39" s="35">
        <f>G39*AO39</f>
        <v>0</v>
      </c>
      <c r="AX39" s="35">
        <f>G39*AP39</f>
        <v>0</v>
      </c>
      <c r="AY39" s="36" t="s">
        <v>110</v>
      </c>
      <c r="AZ39" s="36" t="s">
        <v>68</v>
      </c>
      <c r="BA39" s="12" t="s">
        <v>69</v>
      </c>
      <c r="BC39" s="35">
        <f>AW39+AX39</f>
        <v>0</v>
      </c>
      <c r="BD39" s="35">
        <f>H39/(100-BE39)*100</f>
        <v>0</v>
      </c>
      <c r="BE39" s="35">
        <v>0</v>
      </c>
      <c r="BF39" s="35">
        <f>O39</f>
        <v>0</v>
      </c>
      <c r="BH39" s="35">
        <f>G39*AO39</f>
        <v>0</v>
      </c>
      <c r="BI39" s="35">
        <f>G39*AP39</f>
        <v>0</v>
      </c>
      <c r="BJ39" s="35">
        <f>G39*H39</f>
        <v>0</v>
      </c>
      <c r="BK39" s="35"/>
      <c r="BL39" s="35">
        <v>12</v>
      </c>
      <c r="BW39" s="35" t="str">
        <f>I39</f>
        <v>21</v>
      </c>
      <c r="BX39" s="4" t="s">
        <v>117</v>
      </c>
    </row>
    <row r="40" spans="1:76" ht="14.6" x14ac:dyDescent="0.4">
      <c r="A40" s="38"/>
      <c r="D40" s="39" t="s">
        <v>118</v>
      </c>
      <c r="E40" s="40" t="s">
        <v>56</v>
      </c>
      <c r="G40" s="41">
        <v>38.950000000000003</v>
      </c>
      <c r="P40" s="42"/>
    </row>
    <row r="41" spans="1:76" ht="14.6" x14ac:dyDescent="0.4">
      <c r="A41" s="2" t="s">
        <v>104</v>
      </c>
      <c r="B41" s="3" t="s">
        <v>57</v>
      </c>
      <c r="C41" s="3" t="s">
        <v>119</v>
      </c>
      <c r="D41" s="84" t="s">
        <v>120</v>
      </c>
      <c r="E41" s="85"/>
      <c r="F41" s="3" t="s">
        <v>109</v>
      </c>
      <c r="G41" s="35">
        <v>38.950000000000003</v>
      </c>
      <c r="H41" s="82"/>
      <c r="I41" s="36" t="s">
        <v>65</v>
      </c>
      <c r="J41" s="35">
        <f>G41*AO41</f>
        <v>0</v>
      </c>
      <c r="K41" s="35">
        <f>G41*AP41</f>
        <v>0</v>
      </c>
      <c r="L41" s="35">
        <f>G41*H41</f>
        <v>0</v>
      </c>
      <c r="M41" s="35">
        <f>L41*(1+BW41/100)</f>
        <v>0</v>
      </c>
      <c r="N41" s="35">
        <v>0</v>
      </c>
      <c r="O41" s="35">
        <f>G41*N41</f>
        <v>0</v>
      </c>
      <c r="P41" s="37" t="s">
        <v>66</v>
      </c>
      <c r="Z41" s="35">
        <f>IF(AQ41="5",BJ41,0)</f>
        <v>0</v>
      </c>
      <c r="AB41" s="35">
        <f>IF(AQ41="1",BH41,0)</f>
        <v>0</v>
      </c>
      <c r="AC41" s="35">
        <f>IF(AQ41="1",BI41,0)</f>
        <v>0</v>
      </c>
      <c r="AD41" s="35">
        <f>IF(AQ41="7",BH41,0)</f>
        <v>0</v>
      </c>
      <c r="AE41" s="35">
        <f>IF(AQ41="7",BI41,0)</f>
        <v>0</v>
      </c>
      <c r="AF41" s="35">
        <f>IF(AQ41="2",BH41,0)</f>
        <v>0</v>
      </c>
      <c r="AG41" s="35">
        <f>IF(AQ41="2",BI41,0)</f>
        <v>0</v>
      </c>
      <c r="AH41" s="35">
        <f>IF(AQ41="0",BJ41,0)</f>
        <v>0</v>
      </c>
      <c r="AI41" s="12" t="s">
        <v>57</v>
      </c>
      <c r="AJ41" s="35">
        <f>IF(AN41=0,L41,0)</f>
        <v>0</v>
      </c>
      <c r="AK41" s="35">
        <f>IF(AN41=12,L41,0)</f>
        <v>0</v>
      </c>
      <c r="AL41" s="35">
        <f>IF(AN41=21,L41,0)</f>
        <v>0</v>
      </c>
      <c r="AN41" s="35">
        <v>21</v>
      </c>
      <c r="AO41" s="35">
        <f>H41*0</f>
        <v>0</v>
      </c>
      <c r="AP41" s="35">
        <f>H41*(1-0)</f>
        <v>0</v>
      </c>
      <c r="AQ41" s="36" t="s">
        <v>61</v>
      </c>
      <c r="AV41" s="35">
        <f>AW41+AX41</f>
        <v>0</v>
      </c>
      <c r="AW41" s="35">
        <f>G41*AO41</f>
        <v>0</v>
      </c>
      <c r="AX41" s="35">
        <f>G41*AP41</f>
        <v>0</v>
      </c>
      <c r="AY41" s="36" t="s">
        <v>110</v>
      </c>
      <c r="AZ41" s="36" t="s">
        <v>68</v>
      </c>
      <c r="BA41" s="12" t="s">
        <v>69</v>
      </c>
      <c r="BC41" s="35">
        <f>AW41+AX41</f>
        <v>0</v>
      </c>
      <c r="BD41" s="35">
        <f>H41/(100-BE41)*100</f>
        <v>0</v>
      </c>
      <c r="BE41" s="35">
        <v>0</v>
      </c>
      <c r="BF41" s="35">
        <f>O41</f>
        <v>0</v>
      </c>
      <c r="BH41" s="35">
        <f>G41*AO41</f>
        <v>0</v>
      </c>
      <c r="BI41" s="35">
        <f>G41*AP41</f>
        <v>0</v>
      </c>
      <c r="BJ41" s="35">
        <f>G41*H41</f>
        <v>0</v>
      </c>
      <c r="BK41" s="35"/>
      <c r="BL41" s="35">
        <v>12</v>
      </c>
      <c r="BW41" s="35" t="str">
        <f>I41</f>
        <v>21</v>
      </c>
      <c r="BX41" s="4" t="s">
        <v>120</v>
      </c>
    </row>
    <row r="42" spans="1:76" ht="14.6" x14ac:dyDescent="0.4">
      <c r="A42" s="31" t="s">
        <v>56</v>
      </c>
      <c r="B42" s="32" t="s">
        <v>57</v>
      </c>
      <c r="C42" s="32" t="s">
        <v>121</v>
      </c>
      <c r="D42" s="89" t="s">
        <v>122</v>
      </c>
      <c r="E42" s="90"/>
      <c r="F42" s="33" t="s">
        <v>4</v>
      </c>
      <c r="G42" s="33" t="s">
        <v>4</v>
      </c>
      <c r="H42" s="33" t="s">
        <v>4</v>
      </c>
      <c r="I42" s="33" t="s">
        <v>4</v>
      </c>
      <c r="J42" s="1">
        <f>SUM(J43:J43)</f>
        <v>0</v>
      </c>
      <c r="K42" s="1">
        <f>SUM(K43:K43)</f>
        <v>0</v>
      </c>
      <c r="L42" s="1">
        <f>SUM(L43:L43)</f>
        <v>0</v>
      </c>
      <c r="M42" s="1">
        <f>SUM(M43:M43)</f>
        <v>0</v>
      </c>
      <c r="N42" s="12" t="s">
        <v>56</v>
      </c>
      <c r="O42" s="1">
        <f>SUM(O43:O43)</f>
        <v>0</v>
      </c>
      <c r="P42" s="34" t="s">
        <v>56</v>
      </c>
      <c r="AI42" s="12" t="s">
        <v>57</v>
      </c>
      <c r="AS42" s="1">
        <f>SUM(AJ43:AJ43)</f>
        <v>0</v>
      </c>
      <c r="AT42" s="1">
        <f>SUM(AK43:AK43)</f>
        <v>0</v>
      </c>
      <c r="AU42" s="1">
        <f>SUM(AL43:AL43)</f>
        <v>0</v>
      </c>
    </row>
    <row r="43" spans="1:76" ht="14.6" x14ac:dyDescent="0.4">
      <c r="A43" s="2" t="s">
        <v>121</v>
      </c>
      <c r="B43" s="3" t="s">
        <v>57</v>
      </c>
      <c r="C43" s="3" t="s">
        <v>123</v>
      </c>
      <c r="D43" s="84" t="s">
        <v>124</v>
      </c>
      <c r="E43" s="85"/>
      <c r="F43" s="3" t="s">
        <v>109</v>
      </c>
      <c r="G43" s="35">
        <v>1.8</v>
      </c>
      <c r="H43" s="82"/>
      <c r="I43" s="36" t="s">
        <v>65</v>
      </c>
      <c r="J43" s="35">
        <f>G43*AO43</f>
        <v>0</v>
      </c>
      <c r="K43" s="35">
        <f>G43*AP43</f>
        <v>0</v>
      </c>
      <c r="L43" s="35">
        <f>G43*H43</f>
        <v>0</v>
      </c>
      <c r="M43" s="35">
        <f>L43*(1+BW43/100)</f>
        <v>0</v>
      </c>
      <c r="N43" s="35">
        <v>0</v>
      </c>
      <c r="O43" s="35">
        <f>G43*N43</f>
        <v>0</v>
      </c>
      <c r="P43" s="37" t="s">
        <v>66</v>
      </c>
      <c r="Z43" s="35">
        <f>IF(AQ43="5",BJ43,0)</f>
        <v>0</v>
      </c>
      <c r="AB43" s="35">
        <f>IF(AQ43="1",BH43,0)</f>
        <v>0</v>
      </c>
      <c r="AC43" s="35">
        <f>IF(AQ43="1",BI43,0)</f>
        <v>0</v>
      </c>
      <c r="AD43" s="35">
        <f>IF(AQ43="7",BH43,0)</f>
        <v>0</v>
      </c>
      <c r="AE43" s="35">
        <f>IF(AQ43="7",BI43,0)</f>
        <v>0</v>
      </c>
      <c r="AF43" s="35">
        <f>IF(AQ43="2",BH43,0)</f>
        <v>0</v>
      </c>
      <c r="AG43" s="35">
        <f>IF(AQ43="2",BI43,0)</f>
        <v>0</v>
      </c>
      <c r="AH43" s="35">
        <f>IF(AQ43="0",BJ43,0)</f>
        <v>0</v>
      </c>
      <c r="AI43" s="12" t="s">
        <v>57</v>
      </c>
      <c r="AJ43" s="35">
        <f>IF(AN43=0,L43,0)</f>
        <v>0</v>
      </c>
      <c r="AK43" s="35">
        <f>IF(AN43=12,L43,0)</f>
        <v>0</v>
      </c>
      <c r="AL43" s="35">
        <f>IF(AN43=21,L43,0)</f>
        <v>0</v>
      </c>
      <c r="AN43" s="35">
        <v>21</v>
      </c>
      <c r="AO43" s="35">
        <f>H43*0</f>
        <v>0</v>
      </c>
      <c r="AP43" s="35">
        <f>H43*(1-0)</f>
        <v>0</v>
      </c>
      <c r="AQ43" s="36" t="s">
        <v>61</v>
      </c>
      <c r="AV43" s="35">
        <f>AW43+AX43</f>
        <v>0</v>
      </c>
      <c r="AW43" s="35">
        <f>G43*AO43</f>
        <v>0</v>
      </c>
      <c r="AX43" s="35">
        <f>G43*AP43</f>
        <v>0</v>
      </c>
      <c r="AY43" s="36" t="s">
        <v>125</v>
      </c>
      <c r="AZ43" s="36" t="s">
        <v>68</v>
      </c>
      <c r="BA43" s="12" t="s">
        <v>69</v>
      </c>
      <c r="BC43" s="35">
        <f>AW43+AX43</f>
        <v>0</v>
      </c>
      <c r="BD43" s="35">
        <f>H43/(100-BE43)*100</f>
        <v>0</v>
      </c>
      <c r="BE43" s="35">
        <v>0</v>
      </c>
      <c r="BF43" s="35">
        <f>O43</f>
        <v>0</v>
      </c>
      <c r="BH43" s="35">
        <f>G43*AO43</f>
        <v>0</v>
      </c>
      <c r="BI43" s="35">
        <f>G43*AP43</f>
        <v>0</v>
      </c>
      <c r="BJ43" s="35">
        <f>G43*H43</f>
        <v>0</v>
      </c>
      <c r="BK43" s="35"/>
      <c r="BL43" s="35">
        <v>13</v>
      </c>
      <c r="BW43" s="35" t="str">
        <f>I43</f>
        <v>21</v>
      </c>
      <c r="BX43" s="4" t="s">
        <v>124</v>
      </c>
    </row>
    <row r="44" spans="1:76" ht="13.5" customHeight="1" x14ac:dyDescent="0.4">
      <c r="A44" s="38"/>
      <c r="C44" s="43" t="s">
        <v>82</v>
      </c>
      <c r="D44" s="94" t="s">
        <v>126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6"/>
    </row>
    <row r="45" spans="1:76" ht="14.6" x14ac:dyDescent="0.4">
      <c r="A45" s="38"/>
      <c r="D45" s="39" t="s">
        <v>127</v>
      </c>
      <c r="E45" s="40" t="s">
        <v>56</v>
      </c>
      <c r="G45" s="41">
        <v>1.8</v>
      </c>
      <c r="P45" s="42"/>
    </row>
    <row r="46" spans="1:76" ht="14.6" x14ac:dyDescent="0.4">
      <c r="A46" s="31" t="s">
        <v>56</v>
      </c>
      <c r="B46" s="32" t="s">
        <v>57</v>
      </c>
      <c r="C46" s="32" t="s">
        <v>128</v>
      </c>
      <c r="D46" s="89" t="s">
        <v>129</v>
      </c>
      <c r="E46" s="90"/>
      <c r="F46" s="33" t="s">
        <v>4</v>
      </c>
      <c r="G46" s="33" t="s">
        <v>4</v>
      </c>
      <c r="H46" s="33" t="s">
        <v>4</v>
      </c>
      <c r="I46" s="33" t="s">
        <v>4</v>
      </c>
      <c r="J46" s="1">
        <f>SUM(J47:J48)</f>
        <v>0</v>
      </c>
      <c r="K46" s="1">
        <f>SUM(K47:K48)</f>
        <v>0</v>
      </c>
      <c r="L46" s="1">
        <f>SUM(L47:L48)</f>
        <v>0</v>
      </c>
      <c r="M46" s="1">
        <f>SUM(M47:M48)</f>
        <v>0</v>
      </c>
      <c r="N46" s="12" t="s">
        <v>56</v>
      </c>
      <c r="O46" s="1">
        <f>SUM(O47:O48)</f>
        <v>0</v>
      </c>
      <c r="P46" s="34" t="s">
        <v>56</v>
      </c>
      <c r="AI46" s="12" t="s">
        <v>57</v>
      </c>
      <c r="AS46" s="1">
        <f>SUM(AJ47:AJ48)</f>
        <v>0</v>
      </c>
      <c r="AT46" s="1">
        <f>SUM(AK47:AK48)</f>
        <v>0</v>
      </c>
      <c r="AU46" s="1">
        <f>SUM(AL47:AL48)</f>
        <v>0</v>
      </c>
    </row>
    <row r="47" spans="1:76" ht="14.6" x14ac:dyDescent="0.4">
      <c r="A47" s="2" t="s">
        <v>130</v>
      </c>
      <c r="B47" s="3" t="s">
        <v>57</v>
      </c>
      <c r="C47" s="3" t="s">
        <v>131</v>
      </c>
      <c r="D47" s="84" t="s">
        <v>132</v>
      </c>
      <c r="E47" s="85"/>
      <c r="F47" s="3" t="s">
        <v>133</v>
      </c>
      <c r="G47" s="35">
        <v>30</v>
      </c>
      <c r="H47" s="82"/>
      <c r="I47" s="36" t="s">
        <v>65</v>
      </c>
      <c r="J47" s="35">
        <f>G47*AO47</f>
        <v>0</v>
      </c>
      <c r="K47" s="35">
        <f>G47*AP47</f>
        <v>0</v>
      </c>
      <c r="L47" s="35">
        <f>G47*H47</f>
        <v>0</v>
      </c>
      <c r="M47" s="35">
        <f>L47*(1+BW47/100)</f>
        <v>0</v>
      </c>
      <c r="N47" s="35">
        <v>0</v>
      </c>
      <c r="O47" s="35">
        <f>G47*N47</f>
        <v>0</v>
      </c>
      <c r="P47" s="37" t="s">
        <v>66</v>
      </c>
      <c r="Z47" s="35">
        <f>IF(AQ47="5",BJ47,0)</f>
        <v>0</v>
      </c>
      <c r="AB47" s="35">
        <f>IF(AQ47="1",BH47,0)</f>
        <v>0</v>
      </c>
      <c r="AC47" s="35">
        <f>IF(AQ47="1",BI47,0)</f>
        <v>0</v>
      </c>
      <c r="AD47" s="35">
        <f>IF(AQ47="7",BH47,0)</f>
        <v>0</v>
      </c>
      <c r="AE47" s="35">
        <f>IF(AQ47="7",BI47,0)</f>
        <v>0</v>
      </c>
      <c r="AF47" s="35">
        <f>IF(AQ47="2",BH47,0)</f>
        <v>0</v>
      </c>
      <c r="AG47" s="35">
        <f>IF(AQ47="2",BI47,0)</f>
        <v>0</v>
      </c>
      <c r="AH47" s="35">
        <f>IF(AQ47="0",BJ47,0)</f>
        <v>0</v>
      </c>
      <c r="AI47" s="12" t="s">
        <v>57</v>
      </c>
      <c r="AJ47" s="35">
        <f>IF(AN47=0,L47,0)</f>
        <v>0</v>
      </c>
      <c r="AK47" s="35">
        <f>IF(AN47=12,L47,0)</f>
        <v>0</v>
      </c>
      <c r="AL47" s="35">
        <f>IF(AN47=21,L47,0)</f>
        <v>0</v>
      </c>
      <c r="AN47" s="35">
        <v>21</v>
      </c>
      <c r="AO47" s="35">
        <f>H47*0</f>
        <v>0</v>
      </c>
      <c r="AP47" s="35">
        <f>H47*(1-0)</f>
        <v>0</v>
      </c>
      <c r="AQ47" s="36" t="s">
        <v>61</v>
      </c>
      <c r="AV47" s="35">
        <f>AW47+AX47</f>
        <v>0</v>
      </c>
      <c r="AW47" s="35">
        <f>G47*AO47</f>
        <v>0</v>
      </c>
      <c r="AX47" s="35">
        <f>G47*AP47</f>
        <v>0</v>
      </c>
      <c r="AY47" s="36" t="s">
        <v>134</v>
      </c>
      <c r="AZ47" s="36" t="s">
        <v>68</v>
      </c>
      <c r="BA47" s="12" t="s">
        <v>69</v>
      </c>
      <c r="BC47" s="35">
        <f>AW47+AX47</f>
        <v>0</v>
      </c>
      <c r="BD47" s="35">
        <f>H47/(100-BE47)*100</f>
        <v>0</v>
      </c>
      <c r="BE47" s="35">
        <v>0</v>
      </c>
      <c r="BF47" s="35">
        <f>O47</f>
        <v>0</v>
      </c>
      <c r="BH47" s="35">
        <f>G47*AO47</f>
        <v>0</v>
      </c>
      <c r="BI47" s="35">
        <f>G47*AP47</f>
        <v>0</v>
      </c>
      <c r="BJ47" s="35">
        <f>G47*H47</f>
        <v>0</v>
      </c>
      <c r="BK47" s="35"/>
      <c r="BL47" s="35">
        <v>16</v>
      </c>
      <c r="BW47" s="35" t="str">
        <f>I47</f>
        <v>21</v>
      </c>
      <c r="BX47" s="4" t="s">
        <v>132</v>
      </c>
    </row>
    <row r="48" spans="1:76" ht="14.6" x14ac:dyDescent="0.4">
      <c r="A48" s="2" t="s">
        <v>135</v>
      </c>
      <c r="B48" s="3" t="s">
        <v>57</v>
      </c>
      <c r="C48" s="3" t="s">
        <v>136</v>
      </c>
      <c r="D48" s="84" t="s">
        <v>137</v>
      </c>
      <c r="E48" s="85"/>
      <c r="F48" s="3" t="s">
        <v>64</v>
      </c>
      <c r="G48" s="35">
        <v>50</v>
      </c>
      <c r="H48" s="82"/>
      <c r="I48" s="36" t="s">
        <v>65</v>
      </c>
      <c r="J48" s="35">
        <f>G48*AO48</f>
        <v>0</v>
      </c>
      <c r="K48" s="35">
        <f>G48*AP48</f>
        <v>0</v>
      </c>
      <c r="L48" s="35">
        <f>G48*H48</f>
        <v>0</v>
      </c>
      <c r="M48" s="35">
        <f>L48*(1+BW48/100)</f>
        <v>0</v>
      </c>
      <c r="N48" s="35">
        <v>0</v>
      </c>
      <c r="O48" s="35">
        <f>G48*N48</f>
        <v>0</v>
      </c>
      <c r="P48" s="37" t="s">
        <v>66</v>
      </c>
      <c r="Z48" s="35">
        <f>IF(AQ48="5",BJ48,0)</f>
        <v>0</v>
      </c>
      <c r="AB48" s="35">
        <f>IF(AQ48="1",BH48,0)</f>
        <v>0</v>
      </c>
      <c r="AC48" s="35">
        <f>IF(AQ48="1",BI48,0)</f>
        <v>0</v>
      </c>
      <c r="AD48" s="35">
        <f>IF(AQ48="7",BH48,0)</f>
        <v>0</v>
      </c>
      <c r="AE48" s="35">
        <f>IF(AQ48="7",BI48,0)</f>
        <v>0</v>
      </c>
      <c r="AF48" s="35">
        <f>IF(AQ48="2",BH48,0)</f>
        <v>0</v>
      </c>
      <c r="AG48" s="35">
        <f>IF(AQ48="2",BI48,0)</f>
        <v>0</v>
      </c>
      <c r="AH48" s="35">
        <f>IF(AQ48="0",BJ48,0)</f>
        <v>0</v>
      </c>
      <c r="AI48" s="12" t="s">
        <v>57</v>
      </c>
      <c r="AJ48" s="35">
        <f>IF(AN48=0,L48,0)</f>
        <v>0</v>
      </c>
      <c r="AK48" s="35">
        <f>IF(AN48=12,L48,0)</f>
        <v>0</v>
      </c>
      <c r="AL48" s="35">
        <f>IF(AN48=21,L48,0)</f>
        <v>0</v>
      </c>
      <c r="AN48" s="35">
        <v>21</v>
      </c>
      <c r="AO48" s="35">
        <f>H48*0</f>
        <v>0</v>
      </c>
      <c r="AP48" s="35">
        <f>H48*(1-0)</f>
        <v>0</v>
      </c>
      <c r="AQ48" s="36" t="s">
        <v>61</v>
      </c>
      <c r="AV48" s="35">
        <f>AW48+AX48</f>
        <v>0</v>
      </c>
      <c r="AW48" s="35">
        <f>G48*AO48</f>
        <v>0</v>
      </c>
      <c r="AX48" s="35">
        <f>G48*AP48</f>
        <v>0</v>
      </c>
      <c r="AY48" s="36" t="s">
        <v>134</v>
      </c>
      <c r="AZ48" s="36" t="s">
        <v>68</v>
      </c>
      <c r="BA48" s="12" t="s">
        <v>69</v>
      </c>
      <c r="BC48" s="35">
        <f>AW48+AX48</f>
        <v>0</v>
      </c>
      <c r="BD48" s="35">
        <f>H48/(100-BE48)*100</f>
        <v>0</v>
      </c>
      <c r="BE48" s="35">
        <v>0</v>
      </c>
      <c r="BF48" s="35">
        <f>O48</f>
        <v>0</v>
      </c>
      <c r="BH48" s="35">
        <f>G48*AO48</f>
        <v>0</v>
      </c>
      <c r="BI48" s="35">
        <f>G48*AP48</f>
        <v>0</v>
      </c>
      <c r="BJ48" s="35">
        <f>G48*H48</f>
        <v>0</v>
      </c>
      <c r="BK48" s="35"/>
      <c r="BL48" s="35">
        <v>16</v>
      </c>
      <c r="BW48" s="35" t="str">
        <f>I48</f>
        <v>21</v>
      </c>
      <c r="BX48" s="4" t="s">
        <v>137</v>
      </c>
    </row>
    <row r="49" spans="1:76" ht="14.6" x14ac:dyDescent="0.4">
      <c r="A49" s="31" t="s">
        <v>56</v>
      </c>
      <c r="B49" s="32" t="s">
        <v>57</v>
      </c>
      <c r="C49" s="32" t="s">
        <v>138</v>
      </c>
      <c r="D49" s="89" t="s">
        <v>139</v>
      </c>
      <c r="E49" s="90"/>
      <c r="F49" s="33" t="s">
        <v>4</v>
      </c>
      <c r="G49" s="33" t="s">
        <v>4</v>
      </c>
      <c r="H49" s="33" t="s">
        <v>4</v>
      </c>
      <c r="I49" s="33" t="s">
        <v>4</v>
      </c>
      <c r="J49" s="1">
        <f>SUM(J50:J53)</f>
        <v>0</v>
      </c>
      <c r="K49" s="1">
        <f>SUM(K50:K53)</f>
        <v>0</v>
      </c>
      <c r="L49" s="1">
        <f>SUM(L50:L53)</f>
        <v>0</v>
      </c>
      <c r="M49" s="1">
        <f>SUM(M50:M53)</f>
        <v>0</v>
      </c>
      <c r="N49" s="12" t="s">
        <v>56</v>
      </c>
      <c r="O49" s="1">
        <f>SUM(O50:O53)</f>
        <v>0</v>
      </c>
      <c r="P49" s="34" t="s">
        <v>56</v>
      </c>
      <c r="AI49" s="12" t="s">
        <v>57</v>
      </c>
      <c r="AS49" s="1">
        <f>SUM(AJ50:AJ53)</f>
        <v>0</v>
      </c>
      <c r="AT49" s="1">
        <f>SUM(AK50:AK53)</f>
        <v>0</v>
      </c>
      <c r="AU49" s="1">
        <f>SUM(AL50:AL53)</f>
        <v>0</v>
      </c>
    </row>
    <row r="50" spans="1:76" ht="14.6" x14ac:dyDescent="0.4">
      <c r="A50" s="2" t="s">
        <v>128</v>
      </c>
      <c r="B50" s="3" t="s">
        <v>57</v>
      </c>
      <c r="C50" s="3" t="s">
        <v>140</v>
      </c>
      <c r="D50" s="84" t="s">
        <v>141</v>
      </c>
      <c r="E50" s="85"/>
      <c r="F50" s="3" t="s">
        <v>109</v>
      </c>
      <c r="G50" s="35">
        <v>31.5</v>
      </c>
      <c r="H50" s="82"/>
      <c r="I50" s="36" t="s">
        <v>65</v>
      </c>
      <c r="J50" s="35">
        <f>G50*AO50</f>
        <v>0</v>
      </c>
      <c r="K50" s="35">
        <f>G50*AP50</f>
        <v>0</v>
      </c>
      <c r="L50" s="35">
        <f>G50*H50</f>
        <v>0</v>
      </c>
      <c r="M50" s="35">
        <f>L50*(1+BW50/100)</f>
        <v>0</v>
      </c>
      <c r="N50" s="35">
        <v>0</v>
      </c>
      <c r="O50" s="35">
        <f>G50*N50</f>
        <v>0</v>
      </c>
      <c r="P50" s="37" t="s">
        <v>66</v>
      </c>
      <c r="Z50" s="35">
        <f>IF(AQ50="5",BJ50,0)</f>
        <v>0</v>
      </c>
      <c r="AB50" s="35">
        <f>IF(AQ50="1",BH50,0)</f>
        <v>0</v>
      </c>
      <c r="AC50" s="35">
        <f>IF(AQ50="1",BI50,0)</f>
        <v>0</v>
      </c>
      <c r="AD50" s="35">
        <f>IF(AQ50="7",BH50,0)</f>
        <v>0</v>
      </c>
      <c r="AE50" s="35">
        <f>IF(AQ50="7",BI50,0)</f>
        <v>0</v>
      </c>
      <c r="AF50" s="35">
        <f>IF(AQ50="2",BH50,0)</f>
        <v>0</v>
      </c>
      <c r="AG50" s="35">
        <f>IF(AQ50="2",BI50,0)</f>
        <v>0</v>
      </c>
      <c r="AH50" s="35">
        <f>IF(AQ50="0",BJ50,0)</f>
        <v>0</v>
      </c>
      <c r="AI50" s="12" t="s">
        <v>57</v>
      </c>
      <c r="AJ50" s="35">
        <f>IF(AN50=0,L50,0)</f>
        <v>0</v>
      </c>
      <c r="AK50" s="35">
        <f>IF(AN50=12,L50,0)</f>
        <v>0</v>
      </c>
      <c r="AL50" s="35">
        <f>IF(AN50=21,L50,0)</f>
        <v>0</v>
      </c>
      <c r="AN50" s="35">
        <v>21</v>
      </c>
      <c r="AO50" s="35">
        <f>H50*0</f>
        <v>0</v>
      </c>
      <c r="AP50" s="35">
        <f>H50*(1-0)</f>
        <v>0</v>
      </c>
      <c r="AQ50" s="36" t="s">
        <v>61</v>
      </c>
      <c r="AV50" s="35">
        <f>AW50+AX50</f>
        <v>0</v>
      </c>
      <c r="AW50" s="35">
        <f>G50*AO50</f>
        <v>0</v>
      </c>
      <c r="AX50" s="35">
        <f>G50*AP50</f>
        <v>0</v>
      </c>
      <c r="AY50" s="36" t="s">
        <v>142</v>
      </c>
      <c r="AZ50" s="36" t="s">
        <v>68</v>
      </c>
      <c r="BA50" s="12" t="s">
        <v>69</v>
      </c>
      <c r="BC50" s="35">
        <f>AW50+AX50</f>
        <v>0</v>
      </c>
      <c r="BD50" s="35">
        <f>H50/(100-BE50)*100</f>
        <v>0</v>
      </c>
      <c r="BE50" s="35">
        <v>0</v>
      </c>
      <c r="BF50" s="35">
        <f>O50</f>
        <v>0</v>
      </c>
      <c r="BH50" s="35">
        <f>G50*AO50</f>
        <v>0</v>
      </c>
      <c r="BI50" s="35">
        <f>G50*AP50</f>
        <v>0</v>
      </c>
      <c r="BJ50" s="35">
        <f>G50*H50</f>
        <v>0</v>
      </c>
      <c r="BK50" s="35"/>
      <c r="BL50" s="35">
        <v>17</v>
      </c>
      <c r="BW50" s="35" t="str">
        <f>I50</f>
        <v>21</v>
      </c>
      <c r="BX50" s="4" t="s">
        <v>141</v>
      </c>
    </row>
    <row r="51" spans="1:76" ht="13.5" customHeight="1" x14ac:dyDescent="0.4">
      <c r="A51" s="38"/>
      <c r="C51" s="43" t="s">
        <v>82</v>
      </c>
      <c r="D51" s="94" t="s">
        <v>143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6"/>
    </row>
    <row r="52" spans="1:76" ht="14.6" x14ac:dyDescent="0.4">
      <c r="A52" s="38"/>
      <c r="D52" s="39" t="s">
        <v>144</v>
      </c>
      <c r="E52" s="40" t="s">
        <v>56</v>
      </c>
      <c r="G52" s="41">
        <v>31.5</v>
      </c>
      <c r="P52" s="42"/>
    </row>
    <row r="53" spans="1:76" ht="14.6" x14ac:dyDescent="0.4">
      <c r="A53" s="2" t="s">
        <v>138</v>
      </c>
      <c r="B53" s="3" t="s">
        <v>57</v>
      </c>
      <c r="C53" s="3" t="s">
        <v>145</v>
      </c>
      <c r="D53" s="84" t="s">
        <v>146</v>
      </c>
      <c r="E53" s="85"/>
      <c r="F53" s="3" t="s">
        <v>109</v>
      </c>
      <c r="G53" s="35">
        <v>8.34</v>
      </c>
      <c r="H53" s="82"/>
      <c r="I53" s="36" t="s">
        <v>65</v>
      </c>
      <c r="J53" s="35">
        <f>G53*AO53</f>
        <v>0</v>
      </c>
      <c r="K53" s="35">
        <f>G53*AP53</f>
        <v>0</v>
      </c>
      <c r="L53" s="35">
        <f>G53*H53</f>
        <v>0</v>
      </c>
      <c r="M53" s="35">
        <f>L53*(1+BW53/100)</f>
        <v>0</v>
      </c>
      <c r="N53" s="35">
        <v>0</v>
      </c>
      <c r="O53" s="35">
        <f>G53*N53</f>
        <v>0</v>
      </c>
      <c r="P53" s="37" t="s">
        <v>66</v>
      </c>
      <c r="Z53" s="35">
        <f>IF(AQ53="5",BJ53,0)</f>
        <v>0</v>
      </c>
      <c r="AB53" s="35">
        <f>IF(AQ53="1",BH53,0)</f>
        <v>0</v>
      </c>
      <c r="AC53" s="35">
        <f>IF(AQ53="1",BI53,0)</f>
        <v>0</v>
      </c>
      <c r="AD53" s="35">
        <f>IF(AQ53="7",BH53,0)</f>
        <v>0</v>
      </c>
      <c r="AE53" s="35">
        <f>IF(AQ53="7",BI53,0)</f>
        <v>0</v>
      </c>
      <c r="AF53" s="35">
        <f>IF(AQ53="2",BH53,0)</f>
        <v>0</v>
      </c>
      <c r="AG53" s="35">
        <f>IF(AQ53="2",BI53,0)</f>
        <v>0</v>
      </c>
      <c r="AH53" s="35">
        <f>IF(AQ53="0",BJ53,0)</f>
        <v>0</v>
      </c>
      <c r="AI53" s="12" t="s">
        <v>57</v>
      </c>
      <c r="AJ53" s="35">
        <f>IF(AN53=0,L53,0)</f>
        <v>0</v>
      </c>
      <c r="AK53" s="35">
        <f>IF(AN53=12,L53,0)</f>
        <v>0</v>
      </c>
      <c r="AL53" s="35">
        <f>IF(AN53=21,L53,0)</f>
        <v>0</v>
      </c>
      <c r="AN53" s="35">
        <v>21</v>
      </c>
      <c r="AO53" s="35">
        <f>H53*0</f>
        <v>0</v>
      </c>
      <c r="AP53" s="35">
        <f>H53*(1-0)</f>
        <v>0</v>
      </c>
      <c r="AQ53" s="36" t="s">
        <v>61</v>
      </c>
      <c r="AV53" s="35">
        <f>AW53+AX53</f>
        <v>0</v>
      </c>
      <c r="AW53" s="35">
        <f>G53*AO53</f>
        <v>0</v>
      </c>
      <c r="AX53" s="35">
        <f>G53*AP53</f>
        <v>0</v>
      </c>
      <c r="AY53" s="36" t="s">
        <v>142</v>
      </c>
      <c r="AZ53" s="36" t="s">
        <v>68</v>
      </c>
      <c r="BA53" s="12" t="s">
        <v>69</v>
      </c>
      <c r="BC53" s="35">
        <f>AW53+AX53</f>
        <v>0</v>
      </c>
      <c r="BD53" s="35">
        <f>H53/(100-BE53)*100</f>
        <v>0</v>
      </c>
      <c r="BE53" s="35">
        <v>0</v>
      </c>
      <c r="BF53" s="35">
        <f>O53</f>
        <v>0</v>
      </c>
      <c r="BH53" s="35">
        <f>G53*AO53</f>
        <v>0</v>
      </c>
      <c r="BI53" s="35">
        <f>G53*AP53</f>
        <v>0</v>
      </c>
      <c r="BJ53" s="35">
        <f>G53*H53</f>
        <v>0</v>
      </c>
      <c r="BK53" s="35"/>
      <c r="BL53" s="35">
        <v>17</v>
      </c>
      <c r="BW53" s="35" t="str">
        <f>I53</f>
        <v>21</v>
      </c>
      <c r="BX53" s="4" t="s">
        <v>146</v>
      </c>
    </row>
    <row r="54" spans="1:76" ht="13.5" customHeight="1" x14ac:dyDescent="0.4">
      <c r="A54" s="38"/>
      <c r="C54" s="43" t="s">
        <v>82</v>
      </c>
      <c r="D54" s="94" t="s">
        <v>147</v>
      </c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6"/>
    </row>
    <row r="55" spans="1:76" ht="14.6" x14ac:dyDescent="0.4">
      <c r="A55" s="38"/>
      <c r="D55" s="39" t="s">
        <v>148</v>
      </c>
      <c r="E55" s="40" t="s">
        <v>56</v>
      </c>
      <c r="G55" s="41">
        <v>8.34</v>
      </c>
      <c r="P55" s="42"/>
    </row>
    <row r="56" spans="1:76" ht="14.6" x14ac:dyDescent="0.4">
      <c r="A56" s="31" t="s">
        <v>56</v>
      </c>
      <c r="B56" s="32" t="s">
        <v>57</v>
      </c>
      <c r="C56" s="32" t="s">
        <v>149</v>
      </c>
      <c r="D56" s="89" t="s">
        <v>150</v>
      </c>
      <c r="E56" s="90"/>
      <c r="F56" s="33" t="s">
        <v>4</v>
      </c>
      <c r="G56" s="33" t="s">
        <v>4</v>
      </c>
      <c r="H56" s="33" t="s">
        <v>4</v>
      </c>
      <c r="I56" s="33" t="s">
        <v>4</v>
      </c>
      <c r="J56" s="1">
        <f>SUM(J57:J68)</f>
        <v>0</v>
      </c>
      <c r="K56" s="1">
        <f>SUM(K57:K68)</f>
        <v>0</v>
      </c>
      <c r="L56" s="1">
        <f>SUM(L57:L68)</f>
        <v>0</v>
      </c>
      <c r="M56" s="1">
        <f>SUM(M57:M68)</f>
        <v>0</v>
      </c>
      <c r="N56" s="12" t="s">
        <v>56</v>
      </c>
      <c r="O56" s="1">
        <f>SUM(O57:O68)</f>
        <v>0</v>
      </c>
      <c r="P56" s="34" t="s">
        <v>56</v>
      </c>
      <c r="AI56" s="12" t="s">
        <v>57</v>
      </c>
      <c r="AS56" s="1">
        <f>SUM(AJ57:AJ68)</f>
        <v>0</v>
      </c>
      <c r="AT56" s="1">
        <f>SUM(AK57:AK68)</f>
        <v>0</v>
      </c>
      <c r="AU56" s="1">
        <f>SUM(AL57:AL68)</f>
        <v>0</v>
      </c>
    </row>
    <row r="57" spans="1:76" ht="14.6" x14ac:dyDescent="0.4">
      <c r="A57" s="2" t="s">
        <v>149</v>
      </c>
      <c r="B57" s="3" t="s">
        <v>57</v>
      </c>
      <c r="C57" s="3" t="s">
        <v>151</v>
      </c>
      <c r="D57" s="84" t="s">
        <v>152</v>
      </c>
      <c r="E57" s="85"/>
      <c r="F57" s="3" t="s">
        <v>64</v>
      </c>
      <c r="G57" s="35">
        <v>90</v>
      </c>
      <c r="H57" s="82"/>
      <c r="I57" s="36" t="s">
        <v>65</v>
      </c>
      <c r="J57" s="35">
        <f>G57*AO57</f>
        <v>0</v>
      </c>
      <c r="K57" s="35">
        <f>G57*AP57</f>
        <v>0</v>
      </c>
      <c r="L57" s="35">
        <f>G57*H57</f>
        <v>0</v>
      </c>
      <c r="M57" s="35">
        <f>L57*(1+BW57/100)</f>
        <v>0</v>
      </c>
      <c r="N57" s="35">
        <v>0</v>
      </c>
      <c r="O57" s="35">
        <f>G57*N57</f>
        <v>0</v>
      </c>
      <c r="P57" s="37" t="s">
        <v>66</v>
      </c>
      <c r="Z57" s="35">
        <f>IF(AQ57="5",BJ57,0)</f>
        <v>0</v>
      </c>
      <c r="AB57" s="35">
        <f>IF(AQ57="1",BH57,0)</f>
        <v>0</v>
      </c>
      <c r="AC57" s="35">
        <f>IF(AQ57="1",BI57,0)</f>
        <v>0</v>
      </c>
      <c r="AD57" s="35">
        <f>IF(AQ57="7",BH57,0)</f>
        <v>0</v>
      </c>
      <c r="AE57" s="35">
        <f>IF(AQ57="7",BI57,0)</f>
        <v>0</v>
      </c>
      <c r="AF57" s="35">
        <f>IF(AQ57="2",BH57,0)</f>
        <v>0</v>
      </c>
      <c r="AG57" s="35">
        <f>IF(AQ57="2",BI57,0)</f>
        <v>0</v>
      </c>
      <c r="AH57" s="35">
        <f>IF(AQ57="0",BJ57,0)</f>
        <v>0</v>
      </c>
      <c r="AI57" s="12" t="s">
        <v>57</v>
      </c>
      <c r="AJ57" s="35">
        <f>IF(AN57=0,L57,0)</f>
        <v>0</v>
      </c>
      <c r="AK57" s="35">
        <f>IF(AN57=12,L57,0)</f>
        <v>0</v>
      </c>
      <c r="AL57" s="35">
        <f>IF(AN57=21,L57,0)</f>
        <v>0</v>
      </c>
      <c r="AN57" s="35">
        <v>21</v>
      </c>
      <c r="AO57" s="35">
        <f>H57*0.072542373</f>
        <v>0</v>
      </c>
      <c r="AP57" s="35">
        <f>H57*(1-0.072542373)</f>
        <v>0</v>
      </c>
      <c r="AQ57" s="36" t="s">
        <v>61</v>
      </c>
      <c r="AV57" s="35">
        <f>AW57+AX57</f>
        <v>0</v>
      </c>
      <c r="AW57" s="35">
        <f>G57*AO57</f>
        <v>0</v>
      </c>
      <c r="AX57" s="35">
        <f>G57*AP57</f>
        <v>0</v>
      </c>
      <c r="AY57" s="36" t="s">
        <v>153</v>
      </c>
      <c r="AZ57" s="36" t="s">
        <v>68</v>
      </c>
      <c r="BA57" s="12" t="s">
        <v>69</v>
      </c>
      <c r="BC57" s="35">
        <f>AW57+AX57</f>
        <v>0</v>
      </c>
      <c r="BD57" s="35">
        <f>H57/(100-BE57)*100</f>
        <v>0</v>
      </c>
      <c r="BE57" s="35">
        <v>0</v>
      </c>
      <c r="BF57" s="35">
        <f>O57</f>
        <v>0</v>
      </c>
      <c r="BH57" s="35">
        <f>G57*AO57</f>
        <v>0</v>
      </c>
      <c r="BI57" s="35">
        <f>G57*AP57</f>
        <v>0</v>
      </c>
      <c r="BJ57" s="35">
        <f>G57*H57</f>
        <v>0</v>
      </c>
      <c r="BK57" s="35"/>
      <c r="BL57" s="35">
        <v>18</v>
      </c>
      <c r="BW57" s="35" t="str">
        <f>I57</f>
        <v>21</v>
      </c>
      <c r="BX57" s="4" t="s">
        <v>152</v>
      </c>
    </row>
    <row r="58" spans="1:76" ht="14.6" x14ac:dyDescent="0.4">
      <c r="A58" s="38"/>
      <c r="D58" s="39" t="s">
        <v>154</v>
      </c>
      <c r="E58" s="40" t="s">
        <v>56</v>
      </c>
      <c r="G58" s="41">
        <v>90</v>
      </c>
      <c r="P58" s="42"/>
    </row>
    <row r="59" spans="1:76" ht="14.6" x14ac:dyDescent="0.4">
      <c r="A59" s="2" t="s">
        <v>155</v>
      </c>
      <c r="B59" s="3" t="s">
        <v>57</v>
      </c>
      <c r="C59" s="3" t="s">
        <v>156</v>
      </c>
      <c r="D59" s="84" t="s">
        <v>157</v>
      </c>
      <c r="E59" s="85"/>
      <c r="F59" s="3" t="s">
        <v>64</v>
      </c>
      <c r="G59" s="35">
        <v>225</v>
      </c>
      <c r="H59" s="82"/>
      <c r="I59" s="36" t="s">
        <v>65</v>
      </c>
      <c r="J59" s="35">
        <f>G59*AO59</f>
        <v>0</v>
      </c>
      <c r="K59" s="35">
        <f>G59*AP59</f>
        <v>0</v>
      </c>
      <c r="L59" s="35">
        <f>G59*H59</f>
        <v>0</v>
      </c>
      <c r="M59" s="35">
        <f>L59*(1+BW59/100)</f>
        <v>0</v>
      </c>
      <c r="N59" s="35">
        <v>0</v>
      </c>
      <c r="O59" s="35">
        <f>G59*N59</f>
        <v>0</v>
      </c>
      <c r="P59" s="37" t="s">
        <v>66</v>
      </c>
      <c r="Z59" s="35">
        <f>IF(AQ59="5",BJ59,0)</f>
        <v>0</v>
      </c>
      <c r="AB59" s="35">
        <f>IF(AQ59="1",BH59,0)</f>
        <v>0</v>
      </c>
      <c r="AC59" s="35">
        <f>IF(AQ59="1",BI59,0)</f>
        <v>0</v>
      </c>
      <c r="AD59" s="35">
        <f>IF(AQ59="7",BH59,0)</f>
        <v>0</v>
      </c>
      <c r="AE59" s="35">
        <f>IF(AQ59="7",BI59,0)</f>
        <v>0</v>
      </c>
      <c r="AF59" s="35">
        <f>IF(AQ59="2",BH59,0)</f>
        <v>0</v>
      </c>
      <c r="AG59" s="35">
        <f>IF(AQ59="2",BI59,0)</f>
        <v>0</v>
      </c>
      <c r="AH59" s="35">
        <f>IF(AQ59="0",BJ59,0)</f>
        <v>0</v>
      </c>
      <c r="AI59" s="12" t="s">
        <v>57</v>
      </c>
      <c r="AJ59" s="35">
        <f>IF(AN59=0,L59,0)</f>
        <v>0</v>
      </c>
      <c r="AK59" s="35">
        <f>IF(AN59=12,L59,0)</f>
        <v>0</v>
      </c>
      <c r="AL59" s="35">
        <f>IF(AN59=21,L59,0)</f>
        <v>0</v>
      </c>
      <c r="AN59" s="35">
        <v>21</v>
      </c>
      <c r="AO59" s="35">
        <f>H59*0.03626504</f>
        <v>0</v>
      </c>
      <c r="AP59" s="35">
        <f>H59*(1-0.03626504)</f>
        <v>0</v>
      </c>
      <c r="AQ59" s="36" t="s">
        <v>61</v>
      </c>
      <c r="AV59" s="35">
        <f>AW59+AX59</f>
        <v>0</v>
      </c>
      <c r="AW59" s="35">
        <f>G59*AO59</f>
        <v>0</v>
      </c>
      <c r="AX59" s="35">
        <f>G59*AP59</f>
        <v>0</v>
      </c>
      <c r="AY59" s="36" t="s">
        <v>153</v>
      </c>
      <c r="AZ59" s="36" t="s">
        <v>68</v>
      </c>
      <c r="BA59" s="12" t="s">
        <v>69</v>
      </c>
      <c r="BC59" s="35">
        <f>AW59+AX59</f>
        <v>0</v>
      </c>
      <c r="BD59" s="35">
        <f>H59/(100-BE59)*100</f>
        <v>0</v>
      </c>
      <c r="BE59" s="35">
        <v>0</v>
      </c>
      <c r="BF59" s="35">
        <f>O59</f>
        <v>0</v>
      </c>
      <c r="BH59" s="35">
        <f>G59*AO59</f>
        <v>0</v>
      </c>
      <c r="BI59" s="35">
        <f>G59*AP59</f>
        <v>0</v>
      </c>
      <c r="BJ59" s="35">
        <f>G59*H59</f>
        <v>0</v>
      </c>
      <c r="BK59" s="35"/>
      <c r="BL59" s="35">
        <v>18</v>
      </c>
      <c r="BW59" s="35" t="str">
        <f>I59</f>
        <v>21</v>
      </c>
      <c r="BX59" s="4" t="s">
        <v>157</v>
      </c>
    </row>
    <row r="60" spans="1:76" ht="14.6" x14ac:dyDescent="0.4">
      <c r="A60" s="38"/>
      <c r="D60" s="39" t="s">
        <v>158</v>
      </c>
      <c r="E60" s="40" t="s">
        <v>56</v>
      </c>
      <c r="G60" s="41">
        <v>225</v>
      </c>
      <c r="P60" s="42"/>
    </row>
    <row r="61" spans="1:76" ht="14.6" x14ac:dyDescent="0.4">
      <c r="A61" s="2" t="s">
        <v>159</v>
      </c>
      <c r="B61" s="3" t="s">
        <v>57</v>
      </c>
      <c r="C61" s="3" t="s">
        <v>160</v>
      </c>
      <c r="D61" s="84" t="s">
        <v>161</v>
      </c>
      <c r="E61" s="85"/>
      <c r="F61" s="3" t="s">
        <v>64</v>
      </c>
      <c r="G61" s="35">
        <v>208.43</v>
      </c>
      <c r="H61" s="82"/>
      <c r="I61" s="36" t="s">
        <v>65</v>
      </c>
      <c r="J61" s="35">
        <f>G61*AO61</f>
        <v>0</v>
      </c>
      <c r="K61" s="35">
        <f>G61*AP61</f>
        <v>0</v>
      </c>
      <c r="L61" s="35">
        <f>G61*H61</f>
        <v>0</v>
      </c>
      <c r="M61" s="35">
        <f>L61*(1+BW61/100)</f>
        <v>0</v>
      </c>
      <c r="N61" s="35">
        <v>0</v>
      </c>
      <c r="O61" s="35">
        <f>G61*N61</f>
        <v>0</v>
      </c>
      <c r="P61" s="37" t="s">
        <v>66</v>
      </c>
      <c r="Z61" s="35">
        <f>IF(AQ61="5",BJ61,0)</f>
        <v>0</v>
      </c>
      <c r="AB61" s="35">
        <f>IF(AQ61="1",BH61,0)</f>
        <v>0</v>
      </c>
      <c r="AC61" s="35">
        <f>IF(AQ61="1",BI61,0)</f>
        <v>0</v>
      </c>
      <c r="AD61" s="35">
        <f>IF(AQ61="7",BH61,0)</f>
        <v>0</v>
      </c>
      <c r="AE61" s="35">
        <f>IF(AQ61="7",BI61,0)</f>
        <v>0</v>
      </c>
      <c r="AF61" s="35">
        <f>IF(AQ61="2",BH61,0)</f>
        <v>0</v>
      </c>
      <c r="AG61" s="35">
        <f>IF(AQ61="2",BI61,0)</f>
        <v>0</v>
      </c>
      <c r="AH61" s="35">
        <f>IF(AQ61="0",BJ61,0)</f>
        <v>0</v>
      </c>
      <c r="AI61" s="12" t="s">
        <v>57</v>
      </c>
      <c r="AJ61" s="35">
        <f>IF(AN61=0,L61,0)</f>
        <v>0</v>
      </c>
      <c r="AK61" s="35">
        <f>IF(AN61=12,L61,0)</f>
        <v>0</v>
      </c>
      <c r="AL61" s="35">
        <f>IF(AN61=21,L61,0)</f>
        <v>0</v>
      </c>
      <c r="AN61" s="35">
        <v>21</v>
      </c>
      <c r="AO61" s="35">
        <f>H61*0</f>
        <v>0</v>
      </c>
      <c r="AP61" s="35">
        <f>H61*(1-0)</f>
        <v>0</v>
      </c>
      <c r="AQ61" s="36" t="s">
        <v>61</v>
      </c>
      <c r="AV61" s="35">
        <f>AW61+AX61</f>
        <v>0</v>
      </c>
      <c r="AW61" s="35">
        <f>G61*AO61</f>
        <v>0</v>
      </c>
      <c r="AX61" s="35">
        <f>G61*AP61</f>
        <v>0</v>
      </c>
      <c r="AY61" s="36" t="s">
        <v>153</v>
      </c>
      <c r="AZ61" s="36" t="s">
        <v>68</v>
      </c>
      <c r="BA61" s="12" t="s">
        <v>69</v>
      </c>
      <c r="BC61" s="35">
        <f>AW61+AX61</f>
        <v>0</v>
      </c>
      <c r="BD61" s="35">
        <f>H61/(100-BE61)*100</f>
        <v>0</v>
      </c>
      <c r="BE61" s="35">
        <v>0</v>
      </c>
      <c r="BF61" s="35">
        <f>O61</f>
        <v>0</v>
      </c>
      <c r="BH61" s="35">
        <f>G61*AO61</f>
        <v>0</v>
      </c>
      <c r="BI61" s="35">
        <f>G61*AP61</f>
        <v>0</v>
      </c>
      <c r="BJ61" s="35">
        <f>G61*H61</f>
        <v>0</v>
      </c>
      <c r="BK61" s="35"/>
      <c r="BL61" s="35">
        <v>18</v>
      </c>
      <c r="BW61" s="35" t="str">
        <f>I61</f>
        <v>21</v>
      </c>
      <c r="BX61" s="4" t="s">
        <v>161</v>
      </c>
    </row>
    <row r="62" spans="1:76" ht="14.6" x14ac:dyDescent="0.4">
      <c r="A62" s="38"/>
      <c r="D62" s="39" t="s">
        <v>162</v>
      </c>
      <c r="E62" s="40" t="s">
        <v>56</v>
      </c>
      <c r="G62" s="41">
        <v>208.43</v>
      </c>
      <c r="P62" s="42"/>
    </row>
    <row r="63" spans="1:76" ht="14.6" x14ac:dyDescent="0.4">
      <c r="A63" s="2" t="s">
        <v>65</v>
      </c>
      <c r="B63" s="3" t="s">
        <v>57</v>
      </c>
      <c r="C63" s="3" t="s">
        <v>163</v>
      </c>
      <c r="D63" s="84" t="s">
        <v>164</v>
      </c>
      <c r="E63" s="85"/>
      <c r="F63" s="3" t="s">
        <v>64</v>
      </c>
      <c r="G63" s="35">
        <v>90</v>
      </c>
      <c r="H63" s="82"/>
      <c r="I63" s="36" t="s">
        <v>65</v>
      </c>
      <c r="J63" s="35">
        <f>G63*AO63</f>
        <v>0</v>
      </c>
      <c r="K63" s="35">
        <f>G63*AP63</f>
        <v>0</v>
      </c>
      <c r="L63" s="35">
        <f>G63*H63</f>
        <v>0</v>
      </c>
      <c r="M63" s="35">
        <f>L63*(1+BW63/100)</f>
        <v>0</v>
      </c>
      <c r="N63" s="35">
        <v>0</v>
      </c>
      <c r="O63" s="35">
        <f>G63*N63</f>
        <v>0</v>
      </c>
      <c r="P63" s="37" t="s">
        <v>66</v>
      </c>
      <c r="Z63" s="35">
        <f>IF(AQ63="5",BJ63,0)</f>
        <v>0</v>
      </c>
      <c r="AB63" s="35">
        <f>IF(AQ63="1",BH63,0)</f>
        <v>0</v>
      </c>
      <c r="AC63" s="35">
        <f>IF(AQ63="1",BI63,0)</f>
        <v>0</v>
      </c>
      <c r="AD63" s="35">
        <f>IF(AQ63="7",BH63,0)</f>
        <v>0</v>
      </c>
      <c r="AE63" s="35">
        <f>IF(AQ63="7",BI63,0)</f>
        <v>0</v>
      </c>
      <c r="AF63" s="35">
        <f>IF(AQ63="2",BH63,0)</f>
        <v>0</v>
      </c>
      <c r="AG63" s="35">
        <f>IF(AQ63="2",BI63,0)</f>
        <v>0</v>
      </c>
      <c r="AH63" s="35">
        <f>IF(AQ63="0",BJ63,0)</f>
        <v>0</v>
      </c>
      <c r="AI63" s="12" t="s">
        <v>57</v>
      </c>
      <c r="AJ63" s="35">
        <f>IF(AN63=0,L63,0)</f>
        <v>0</v>
      </c>
      <c r="AK63" s="35">
        <f>IF(AN63=12,L63,0)</f>
        <v>0</v>
      </c>
      <c r="AL63" s="35">
        <f>IF(AN63=21,L63,0)</f>
        <v>0</v>
      </c>
      <c r="AN63" s="35">
        <v>21</v>
      </c>
      <c r="AO63" s="35">
        <f>H63*0</f>
        <v>0</v>
      </c>
      <c r="AP63" s="35">
        <f>H63*(1-0)</f>
        <v>0</v>
      </c>
      <c r="AQ63" s="36" t="s">
        <v>61</v>
      </c>
      <c r="AV63" s="35">
        <f>AW63+AX63</f>
        <v>0</v>
      </c>
      <c r="AW63" s="35">
        <f>G63*AO63</f>
        <v>0</v>
      </c>
      <c r="AX63" s="35">
        <f>G63*AP63</f>
        <v>0</v>
      </c>
      <c r="AY63" s="36" t="s">
        <v>153</v>
      </c>
      <c r="AZ63" s="36" t="s">
        <v>68</v>
      </c>
      <c r="BA63" s="12" t="s">
        <v>69</v>
      </c>
      <c r="BC63" s="35">
        <f>AW63+AX63</f>
        <v>0</v>
      </c>
      <c r="BD63" s="35">
        <f>H63/(100-BE63)*100</f>
        <v>0</v>
      </c>
      <c r="BE63" s="35">
        <v>0</v>
      </c>
      <c r="BF63" s="35">
        <f>O63</f>
        <v>0</v>
      </c>
      <c r="BH63" s="35">
        <f>G63*AO63</f>
        <v>0</v>
      </c>
      <c r="BI63" s="35">
        <f>G63*AP63</f>
        <v>0</v>
      </c>
      <c r="BJ63" s="35">
        <f>G63*H63</f>
        <v>0</v>
      </c>
      <c r="BK63" s="35"/>
      <c r="BL63" s="35">
        <v>18</v>
      </c>
      <c r="BW63" s="35" t="str">
        <f>I63</f>
        <v>21</v>
      </c>
      <c r="BX63" s="4" t="s">
        <v>164</v>
      </c>
    </row>
    <row r="64" spans="1:76" ht="14.6" x14ac:dyDescent="0.4">
      <c r="A64" s="38"/>
      <c r="D64" s="39" t="s">
        <v>154</v>
      </c>
      <c r="E64" s="40" t="s">
        <v>56</v>
      </c>
      <c r="G64" s="41">
        <v>90</v>
      </c>
      <c r="P64" s="42"/>
    </row>
    <row r="65" spans="1:76" ht="14.6" x14ac:dyDescent="0.4">
      <c r="A65" s="2" t="s">
        <v>165</v>
      </c>
      <c r="B65" s="3" t="s">
        <v>57</v>
      </c>
      <c r="C65" s="3" t="s">
        <v>166</v>
      </c>
      <c r="D65" s="84" t="s">
        <v>167</v>
      </c>
      <c r="E65" s="85"/>
      <c r="F65" s="3" t="s">
        <v>64</v>
      </c>
      <c r="G65" s="35">
        <v>225</v>
      </c>
      <c r="H65" s="82"/>
      <c r="I65" s="36" t="s">
        <v>65</v>
      </c>
      <c r="J65" s="35">
        <f>G65*AO65</f>
        <v>0</v>
      </c>
      <c r="K65" s="35">
        <f>G65*AP65</f>
        <v>0</v>
      </c>
      <c r="L65" s="35">
        <f>G65*H65</f>
        <v>0</v>
      </c>
      <c r="M65" s="35">
        <f>L65*(1+BW65/100)</f>
        <v>0</v>
      </c>
      <c r="N65" s="35">
        <v>0</v>
      </c>
      <c r="O65" s="35">
        <f>G65*N65</f>
        <v>0</v>
      </c>
      <c r="P65" s="37" t="s">
        <v>66</v>
      </c>
      <c r="Z65" s="35">
        <f>IF(AQ65="5",BJ65,0)</f>
        <v>0</v>
      </c>
      <c r="AB65" s="35">
        <f>IF(AQ65="1",BH65,0)</f>
        <v>0</v>
      </c>
      <c r="AC65" s="35">
        <f>IF(AQ65="1",BI65,0)</f>
        <v>0</v>
      </c>
      <c r="AD65" s="35">
        <f>IF(AQ65="7",BH65,0)</f>
        <v>0</v>
      </c>
      <c r="AE65" s="35">
        <f>IF(AQ65="7",BI65,0)</f>
        <v>0</v>
      </c>
      <c r="AF65" s="35">
        <f>IF(AQ65="2",BH65,0)</f>
        <v>0</v>
      </c>
      <c r="AG65" s="35">
        <f>IF(AQ65="2",BI65,0)</f>
        <v>0</v>
      </c>
      <c r="AH65" s="35">
        <f>IF(AQ65="0",BJ65,0)</f>
        <v>0</v>
      </c>
      <c r="AI65" s="12" t="s">
        <v>57</v>
      </c>
      <c r="AJ65" s="35">
        <f>IF(AN65=0,L65,0)</f>
        <v>0</v>
      </c>
      <c r="AK65" s="35">
        <f>IF(AN65=12,L65,0)</f>
        <v>0</v>
      </c>
      <c r="AL65" s="35">
        <f>IF(AN65=21,L65,0)</f>
        <v>0</v>
      </c>
      <c r="AN65" s="35">
        <v>21</v>
      </c>
      <c r="AO65" s="35">
        <f>H65*0</f>
        <v>0</v>
      </c>
      <c r="AP65" s="35">
        <f>H65*(1-0)</f>
        <v>0</v>
      </c>
      <c r="AQ65" s="36" t="s">
        <v>61</v>
      </c>
      <c r="AV65" s="35">
        <f>AW65+AX65</f>
        <v>0</v>
      </c>
      <c r="AW65" s="35">
        <f>G65*AO65</f>
        <v>0</v>
      </c>
      <c r="AX65" s="35">
        <f>G65*AP65</f>
        <v>0</v>
      </c>
      <c r="AY65" s="36" t="s">
        <v>153</v>
      </c>
      <c r="AZ65" s="36" t="s">
        <v>68</v>
      </c>
      <c r="BA65" s="12" t="s">
        <v>69</v>
      </c>
      <c r="BC65" s="35">
        <f>AW65+AX65</f>
        <v>0</v>
      </c>
      <c r="BD65" s="35">
        <f>H65/(100-BE65)*100</f>
        <v>0</v>
      </c>
      <c r="BE65" s="35">
        <v>0</v>
      </c>
      <c r="BF65" s="35">
        <f>O65</f>
        <v>0</v>
      </c>
      <c r="BH65" s="35">
        <f>G65*AO65</f>
        <v>0</v>
      </c>
      <c r="BI65" s="35">
        <f>G65*AP65</f>
        <v>0</v>
      </c>
      <c r="BJ65" s="35">
        <f>G65*H65</f>
        <v>0</v>
      </c>
      <c r="BK65" s="35"/>
      <c r="BL65" s="35">
        <v>18</v>
      </c>
      <c r="BW65" s="35" t="str">
        <f>I65</f>
        <v>21</v>
      </c>
      <c r="BX65" s="4" t="s">
        <v>167</v>
      </c>
    </row>
    <row r="66" spans="1:76" ht="13.5" customHeight="1" x14ac:dyDescent="0.4">
      <c r="A66" s="38"/>
      <c r="C66" s="43" t="s">
        <v>82</v>
      </c>
      <c r="D66" s="94" t="s">
        <v>168</v>
      </c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6"/>
    </row>
    <row r="67" spans="1:76" ht="14.6" x14ac:dyDescent="0.4">
      <c r="A67" s="38"/>
      <c r="D67" s="39" t="s">
        <v>158</v>
      </c>
      <c r="E67" s="40" t="s">
        <v>56</v>
      </c>
      <c r="G67" s="41">
        <v>225</v>
      </c>
      <c r="P67" s="42"/>
    </row>
    <row r="68" spans="1:76" ht="14.6" x14ac:dyDescent="0.4">
      <c r="A68" s="2" t="s">
        <v>169</v>
      </c>
      <c r="B68" s="3" t="s">
        <v>57</v>
      </c>
      <c r="C68" s="3" t="s">
        <v>170</v>
      </c>
      <c r="D68" s="84" t="s">
        <v>171</v>
      </c>
      <c r="E68" s="85"/>
      <c r="F68" s="3" t="s">
        <v>64</v>
      </c>
      <c r="G68" s="35">
        <v>225</v>
      </c>
      <c r="H68" s="82"/>
      <c r="I68" s="36" t="s">
        <v>65</v>
      </c>
      <c r="J68" s="35">
        <f>G68*AO68</f>
        <v>0</v>
      </c>
      <c r="K68" s="35">
        <f>G68*AP68</f>
        <v>0</v>
      </c>
      <c r="L68" s="35">
        <f>G68*H68</f>
        <v>0</v>
      </c>
      <c r="M68" s="35">
        <f>L68*(1+BW68/100)</f>
        <v>0</v>
      </c>
      <c r="N68" s="35">
        <v>0</v>
      </c>
      <c r="O68" s="35">
        <f>G68*N68</f>
        <v>0</v>
      </c>
      <c r="P68" s="37" t="s">
        <v>66</v>
      </c>
      <c r="Z68" s="35">
        <f>IF(AQ68="5",BJ68,0)</f>
        <v>0</v>
      </c>
      <c r="AB68" s="35">
        <f>IF(AQ68="1",BH68,0)</f>
        <v>0</v>
      </c>
      <c r="AC68" s="35">
        <f>IF(AQ68="1",BI68,0)</f>
        <v>0</v>
      </c>
      <c r="AD68" s="35">
        <f>IF(AQ68="7",BH68,0)</f>
        <v>0</v>
      </c>
      <c r="AE68" s="35">
        <f>IF(AQ68="7",BI68,0)</f>
        <v>0</v>
      </c>
      <c r="AF68" s="35">
        <f>IF(AQ68="2",BH68,0)</f>
        <v>0</v>
      </c>
      <c r="AG68" s="35">
        <f>IF(AQ68="2",BI68,0)</f>
        <v>0</v>
      </c>
      <c r="AH68" s="35">
        <f>IF(AQ68="0",BJ68,0)</f>
        <v>0</v>
      </c>
      <c r="AI68" s="12" t="s">
        <v>57</v>
      </c>
      <c r="AJ68" s="35">
        <f>IF(AN68=0,L68,0)</f>
        <v>0</v>
      </c>
      <c r="AK68" s="35">
        <f>IF(AN68=12,L68,0)</f>
        <v>0</v>
      </c>
      <c r="AL68" s="35">
        <f>IF(AN68=21,L68,0)</f>
        <v>0</v>
      </c>
      <c r="AN68" s="35">
        <v>21</v>
      </c>
      <c r="AO68" s="35">
        <f>H68*0</f>
        <v>0</v>
      </c>
      <c r="AP68" s="35">
        <f>H68*(1-0)</f>
        <v>0</v>
      </c>
      <c r="AQ68" s="36" t="s">
        <v>61</v>
      </c>
      <c r="AV68" s="35">
        <f>AW68+AX68</f>
        <v>0</v>
      </c>
      <c r="AW68" s="35">
        <f>G68*AO68</f>
        <v>0</v>
      </c>
      <c r="AX68" s="35">
        <f>G68*AP68</f>
        <v>0</v>
      </c>
      <c r="AY68" s="36" t="s">
        <v>153</v>
      </c>
      <c r="AZ68" s="36" t="s">
        <v>68</v>
      </c>
      <c r="BA68" s="12" t="s">
        <v>69</v>
      </c>
      <c r="BC68" s="35">
        <f>AW68+AX68</f>
        <v>0</v>
      </c>
      <c r="BD68" s="35">
        <f>H68/(100-BE68)*100</f>
        <v>0</v>
      </c>
      <c r="BE68" s="35">
        <v>0</v>
      </c>
      <c r="BF68" s="35">
        <f>O68</f>
        <v>0</v>
      </c>
      <c r="BH68" s="35">
        <f>G68*AO68</f>
        <v>0</v>
      </c>
      <c r="BI68" s="35">
        <f>G68*AP68</f>
        <v>0</v>
      </c>
      <c r="BJ68" s="35">
        <f>G68*H68</f>
        <v>0</v>
      </c>
      <c r="BK68" s="35"/>
      <c r="BL68" s="35">
        <v>18</v>
      </c>
      <c r="BW68" s="35" t="str">
        <f>I68</f>
        <v>21</v>
      </c>
      <c r="BX68" s="4" t="s">
        <v>171</v>
      </c>
    </row>
    <row r="69" spans="1:76" ht="14.6" x14ac:dyDescent="0.4">
      <c r="A69" s="38"/>
      <c r="D69" s="39" t="s">
        <v>158</v>
      </c>
      <c r="E69" s="40" t="s">
        <v>56</v>
      </c>
      <c r="G69" s="41">
        <v>225</v>
      </c>
      <c r="P69" s="42"/>
    </row>
    <row r="70" spans="1:76" ht="14.6" x14ac:dyDescent="0.4">
      <c r="A70" s="31" t="s">
        <v>56</v>
      </c>
      <c r="B70" s="32" t="s">
        <v>57</v>
      </c>
      <c r="C70" s="32" t="s">
        <v>172</v>
      </c>
      <c r="D70" s="89" t="s">
        <v>173</v>
      </c>
      <c r="E70" s="90"/>
      <c r="F70" s="33" t="s">
        <v>4</v>
      </c>
      <c r="G70" s="33" t="s">
        <v>4</v>
      </c>
      <c r="H70" s="33" t="s">
        <v>4</v>
      </c>
      <c r="I70" s="33" t="s">
        <v>4</v>
      </c>
      <c r="J70" s="1">
        <f>SUM(J71:J81)</f>
        <v>0</v>
      </c>
      <c r="K70" s="1">
        <f>SUM(K71:K81)</f>
        <v>0</v>
      </c>
      <c r="L70" s="1">
        <f>SUM(L71:L81)</f>
        <v>0</v>
      </c>
      <c r="M70" s="1">
        <f>SUM(M71:M81)</f>
        <v>0</v>
      </c>
      <c r="N70" s="12" t="s">
        <v>56</v>
      </c>
      <c r="O70" s="1">
        <f>SUM(O71:O81)</f>
        <v>128.49574999999999</v>
      </c>
      <c r="P70" s="34" t="s">
        <v>56</v>
      </c>
      <c r="AI70" s="12" t="s">
        <v>57</v>
      </c>
      <c r="AS70" s="1">
        <f>SUM(AJ71:AJ81)</f>
        <v>0</v>
      </c>
      <c r="AT70" s="1">
        <f>SUM(AK71:AK81)</f>
        <v>0</v>
      </c>
      <c r="AU70" s="1">
        <f>SUM(AL71:AL81)</f>
        <v>0</v>
      </c>
    </row>
    <row r="71" spans="1:76" ht="14.6" x14ac:dyDescent="0.4">
      <c r="A71" s="2" t="s">
        <v>174</v>
      </c>
      <c r="B71" s="3" t="s">
        <v>57</v>
      </c>
      <c r="C71" s="3" t="s">
        <v>175</v>
      </c>
      <c r="D71" s="84" t="s">
        <v>176</v>
      </c>
      <c r="E71" s="85"/>
      <c r="F71" s="3" t="s">
        <v>64</v>
      </c>
      <c r="G71" s="35">
        <v>328.65</v>
      </c>
      <c r="H71" s="82"/>
      <c r="I71" s="36" t="s">
        <v>65</v>
      </c>
      <c r="J71" s="35">
        <v>0</v>
      </c>
      <c r="K71" s="35">
        <f>G71*H71</f>
        <v>0</v>
      </c>
      <c r="L71" s="35">
        <f>G71*H71</f>
        <v>0</v>
      </c>
      <c r="M71" s="35">
        <f>L71*(1+BW71/100)</f>
        <v>0</v>
      </c>
      <c r="N71" s="35">
        <v>0.105</v>
      </c>
      <c r="O71" s="35">
        <f>G71*N71</f>
        <v>34.508249999999997</v>
      </c>
      <c r="P71" s="37" t="s">
        <v>66</v>
      </c>
      <c r="Z71" s="35">
        <f>IF(AQ71="5",BJ71,0)</f>
        <v>0</v>
      </c>
      <c r="AB71" s="35">
        <f>IF(AQ71="1",BH71,0)</f>
        <v>0</v>
      </c>
      <c r="AC71" s="35">
        <f>IF(AQ71="1",BI71,0)</f>
        <v>0</v>
      </c>
      <c r="AD71" s="35">
        <f>IF(AQ71="7",BH71,0)</f>
        <v>0</v>
      </c>
      <c r="AE71" s="35">
        <f>IF(AQ71="7",BI71,0)</f>
        <v>0</v>
      </c>
      <c r="AF71" s="35">
        <f>IF(AQ71="2",BH71,0)</f>
        <v>0</v>
      </c>
      <c r="AG71" s="35">
        <f>IF(AQ71="2",BI71,0)</f>
        <v>0</v>
      </c>
      <c r="AH71" s="35">
        <f>IF(AQ71="0",BJ71,0)</f>
        <v>0</v>
      </c>
      <c r="AI71" s="12" t="s">
        <v>57</v>
      </c>
      <c r="AJ71" s="35">
        <f>IF(AN71=0,L71,0)</f>
        <v>0</v>
      </c>
      <c r="AK71" s="35">
        <f>IF(AN71=12,L71,0)</f>
        <v>0</v>
      </c>
      <c r="AL71" s="35">
        <f>IF(AN71=21,L71,0)</f>
        <v>0</v>
      </c>
      <c r="AN71" s="35">
        <v>21</v>
      </c>
      <c r="AO71" s="35">
        <f>H71*0.601550151</f>
        <v>0</v>
      </c>
      <c r="AP71" s="35">
        <f>H71*(1-0.601550151)</f>
        <v>0</v>
      </c>
      <c r="AQ71" s="36" t="s">
        <v>61</v>
      </c>
      <c r="AV71" s="35">
        <f>AW71+AX71</f>
        <v>0</v>
      </c>
      <c r="AW71" s="35">
        <f>G71*AO71</f>
        <v>0</v>
      </c>
      <c r="AX71" s="35">
        <f>G71*AP71</f>
        <v>0</v>
      </c>
      <c r="AY71" s="36" t="s">
        <v>177</v>
      </c>
      <c r="AZ71" s="36" t="s">
        <v>178</v>
      </c>
      <c r="BA71" s="12" t="s">
        <v>69</v>
      </c>
      <c r="BC71" s="35">
        <f>AW71+AX71</f>
        <v>0</v>
      </c>
      <c r="BD71" s="35">
        <f>H71/(100-BE71)*100</f>
        <v>0</v>
      </c>
      <c r="BE71" s="35">
        <v>0</v>
      </c>
      <c r="BF71" s="35">
        <f>O71</f>
        <v>34.508249999999997</v>
      </c>
      <c r="BH71" s="35">
        <f>G71*AO71</f>
        <v>0</v>
      </c>
      <c r="BI71" s="35">
        <f>G71*AP71</f>
        <v>0</v>
      </c>
      <c r="BJ71" s="35">
        <f>G71*H71</f>
        <v>0</v>
      </c>
      <c r="BK71" s="35"/>
      <c r="BL71" s="35">
        <v>56</v>
      </c>
      <c r="BW71" s="35" t="str">
        <f>I71</f>
        <v>21</v>
      </c>
      <c r="BX71" s="4" t="s">
        <v>176</v>
      </c>
    </row>
    <row r="72" spans="1:76" ht="13.5" customHeight="1" x14ac:dyDescent="0.4">
      <c r="A72" s="38"/>
      <c r="C72" s="43" t="s">
        <v>82</v>
      </c>
      <c r="D72" s="94" t="s">
        <v>179</v>
      </c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6"/>
    </row>
    <row r="73" spans="1:76" ht="14.6" x14ac:dyDescent="0.4">
      <c r="A73" s="38"/>
      <c r="D73" s="39" t="s">
        <v>180</v>
      </c>
      <c r="E73" s="40" t="s">
        <v>56</v>
      </c>
      <c r="G73" s="41">
        <v>328.65</v>
      </c>
      <c r="P73" s="42"/>
    </row>
    <row r="74" spans="1:76" ht="13.5" customHeight="1" x14ac:dyDescent="0.4">
      <c r="A74" s="38"/>
      <c r="C74" s="44" t="s">
        <v>85</v>
      </c>
      <c r="D74" s="86" t="s">
        <v>181</v>
      </c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8"/>
    </row>
    <row r="75" spans="1:76" ht="14.6" x14ac:dyDescent="0.4">
      <c r="A75" s="2" t="s">
        <v>182</v>
      </c>
      <c r="B75" s="3" t="s">
        <v>57</v>
      </c>
      <c r="C75" s="3" t="s">
        <v>183</v>
      </c>
      <c r="D75" s="84" t="s">
        <v>184</v>
      </c>
      <c r="E75" s="85"/>
      <c r="F75" s="3" t="s">
        <v>64</v>
      </c>
      <c r="G75" s="35">
        <v>144.5</v>
      </c>
      <c r="H75" s="82"/>
      <c r="I75" s="36" t="s">
        <v>65</v>
      </c>
      <c r="J75" s="35">
        <f>G75*AO75</f>
        <v>0</v>
      </c>
      <c r="K75" s="35">
        <f>G75*AP75</f>
        <v>0</v>
      </c>
      <c r="L75" s="35">
        <f>G75*H75</f>
        <v>0</v>
      </c>
      <c r="M75" s="35">
        <f>L75*(1+BW75/100)</f>
        <v>0</v>
      </c>
      <c r="N75" s="35">
        <v>0.17199999999999999</v>
      </c>
      <c r="O75" s="35">
        <f>G75*N75</f>
        <v>24.853999999999999</v>
      </c>
      <c r="P75" s="37" t="s">
        <v>66</v>
      </c>
      <c r="Z75" s="35">
        <f>IF(AQ75="5",BJ75,0)</f>
        <v>0</v>
      </c>
      <c r="AB75" s="35">
        <f>IF(AQ75="1",BH75,0)</f>
        <v>0</v>
      </c>
      <c r="AC75" s="35">
        <f>IF(AQ75="1",BI75,0)</f>
        <v>0</v>
      </c>
      <c r="AD75" s="35">
        <f>IF(AQ75="7",BH75,0)</f>
        <v>0</v>
      </c>
      <c r="AE75" s="35">
        <f>IF(AQ75="7",BI75,0)</f>
        <v>0</v>
      </c>
      <c r="AF75" s="35">
        <f>IF(AQ75="2",BH75,0)</f>
        <v>0</v>
      </c>
      <c r="AG75" s="35">
        <f>IF(AQ75="2",BI75,0)</f>
        <v>0</v>
      </c>
      <c r="AH75" s="35">
        <f>IF(AQ75="0",BJ75,0)</f>
        <v>0</v>
      </c>
      <c r="AI75" s="12" t="s">
        <v>57</v>
      </c>
      <c r="AJ75" s="35">
        <f>IF(AN75=0,L75,0)</f>
        <v>0</v>
      </c>
      <c r="AK75" s="35">
        <f>IF(AN75=12,L75,0)</f>
        <v>0</v>
      </c>
      <c r="AL75" s="35">
        <f>IF(AN75=21,L75,0)</f>
        <v>0</v>
      </c>
      <c r="AN75" s="35">
        <v>21</v>
      </c>
      <c r="AO75" s="35">
        <f>H75*0.789327731</f>
        <v>0</v>
      </c>
      <c r="AP75" s="35">
        <f>H75*(1-0.789327731)</f>
        <v>0</v>
      </c>
      <c r="AQ75" s="36" t="s">
        <v>61</v>
      </c>
      <c r="AV75" s="35">
        <f>AW75+AX75</f>
        <v>0</v>
      </c>
      <c r="AW75" s="35">
        <f>G75*AO75</f>
        <v>0</v>
      </c>
      <c r="AX75" s="35">
        <f>G75*AP75</f>
        <v>0</v>
      </c>
      <c r="AY75" s="36" t="s">
        <v>177</v>
      </c>
      <c r="AZ75" s="36" t="s">
        <v>178</v>
      </c>
      <c r="BA75" s="12" t="s">
        <v>69</v>
      </c>
      <c r="BC75" s="35">
        <f>AW75+AX75</f>
        <v>0</v>
      </c>
      <c r="BD75" s="35">
        <f>H75/(100-BE75)*100</f>
        <v>0</v>
      </c>
      <c r="BE75" s="35">
        <v>0</v>
      </c>
      <c r="BF75" s="35">
        <f>O75</f>
        <v>24.853999999999999</v>
      </c>
      <c r="BH75" s="35">
        <f>G75*AO75</f>
        <v>0</v>
      </c>
      <c r="BI75" s="35">
        <f>G75*AP75</f>
        <v>0</v>
      </c>
      <c r="BJ75" s="35">
        <f>G75*H75</f>
        <v>0</v>
      </c>
      <c r="BK75" s="35"/>
      <c r="BL75" s="35">
        <v>56</v>
      </c>
      <c r="BW75" s="35" t="str">
        <f>I75</f>
        <v>21</v>
      </c>
      <c r="BX75" s="4" t="s">
        <v>184</v>
      </c>
    </row>
    <row r="76" spans="1:76" ht="13.5" customHeight="1" x14ac:dyDescent="0.4">
      <c r="A76" s="38"/>
      <c r="C76" s="43" t="s">
        <v>82</v>
      </c>
      <c r="D76" s="94" t="s">
        <v>185</v>
      </c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6"/>
    </row>
    <row r="77" spans="1:76" ht="14.6" x14ac:dyDescent="0.4">
      <c r="A77" s="38"/>
      <c r="D77" s="39" t="s">
        <v>186</v>
      </c>
      <c r="E77" s="40" t="s">
        <v>56</v>
      </c>
      <c r="G77" s="41">
        <v>144.5</v>
      </c>
      <c r="P77" s="42"/>
    </row>
    <row r="78" spans="1:76" ht="14.6" x14ac:dyDescent="0.4">
      <c r="A78" s="2" t="s">
        <v>187</v>
      </c>
      <c r="B78" s="3" t="s">
        <v>57</v>
      </c>
      <c r="C78" s="3" t="s">
        <v>188</v>
      </c>
      <c r="D78" s="84" t="s">
        <v>189</v>
      </c>
      <c r="E78" s="85"/>
      <c r="F78" s="3" t="s">
        <v>64</v>
      </c>
      <c r="G78" s="35">
        <v>43.2</v>
      </c>
      <c r="H78" s="82"/>
      <c r="I78" s="36" t="s">
        <v>65</v>
      </c>
      <c r="J78" s="35">
        <f>G78*AO78</f>
        <v>0</v>
      </c>
      <c r="K78" s="35">
        <f>G78*AP78</f>
        <v>0</v>
      </c>
      <c r="L78" s="35">
        <f>G78*H78</f>
        <v>0</v>
      </c>
      <c r="M78" s="35">
        <f>L78*(1+BW78/100)</f>
        <v>0</v>
      </c>
      <c r="N78" s="35">
        <v>0.115</v>
      </c>
      <c r="O78" s="35">
        <f>G78*N78</f>
        <v>4.9680000000000009</v>
      </c>
      <c r="P78" s="37" t="s">
        <v>66</v>
      </c>
      <c r="Z78" s="35">
        <f>IF(AQ78="5",BJ78,0)</f>
        <v>0</v>
      </c>
      <c r="AB78" s="35">
        <f>IF(AQ78="1",BH78,0)</f>
        <v>0</v>
      </c>
      <c r="AC78" s="35">
        <f>IF(AQ78="1",BI78,0)</f>
        <v>0</v>
      </c>
      <c r="AD78" s="35">
        <f>IF(AQ78="7",BH78,0)</f>
        <v>0</v>
      </c>
      <c r="AE78" s="35">
        <f>IF(AQ78="7",BI78,0)</f>
        <v>0</v>
      </c>
      <c r="AF78" s="35">
        <f>IF(AQ78="2",BH78,0)</f>
        <v>0</v>
      </c>
      <c r="AG78" s="35">
        <f>IF(AQ78="2",BI78,0)</f>
        <v>0</v>
      </c>
      <c r="AH78" s="35">
        <f>IF(AQ78="0",BJ78,0)</f>
        <v>0</v>
      </c>
      <c r="AI78" s="12" t="s">
        <v>57</v>
      </c>
      <c r="AJ78" s="35">
        <f>IF(AN78=0,L78,0)</f>
        <v>0</v>
      </c>
      <c r="AK78" s="35">
        <f>IF(AN78=12,L78,0)</f>
        <v>0</v>
      </c>
      <c r="AL78" s="35">
        <f>IF(AN78=21,L78,0)</f>
        <v>0</v>
      </c>
      <c r="AN78" s="35">
        <v>21</v>
      </c>
      <c r="AO78" s="35">
        <f>H78*0.678511236</f>
        <v>0</v>
      </c>
      <c r="AP78" s="35">
        <f>H78*(1-0.678511236)</f>
        <v>0</v>
      </c>
      <c r="AQ78" s="36" t="s">
        <v>61</v>
      </c>
      <c r="AV78" s="35">
        <f>AW78+AX78</f>
        <v>0</v>
      </c>
      <c r="AW78" s="35">
        <f>G78*AO78</f>
        <v>0</v>
      </c>
      <c r="AX78" s="35">
        <f>G78*AP78</f>
        <v>0</v>
      </c>
      <c r="AY78" s="36" t="s">
        <v>177</v>
      </c>
      <c r="AZ78" s="36" t="s">
        <v>178</v>
      </c>
      <c r="BA78" s="12" t="s">
        <v>69</v>
      </c>
      <c r="BC78" s="35">
        <f>AW78+AX78</f>
        <v>0</v>
      </c>
      <c r="BD78" s="35">
        <f>H78/(100-BE78)*100</f>
        <v>0</v>
      </c>
      <c r="BE78" s="35">
        <v>0</v>
      </c>
      <c r="BF78" s="35">
        <f>O78</f>
        <v>4.9680000000000009</v>
      </c>
      <c r="BH78" s="35">
        <f>G78*AO78</f>
        <v>0</v>
      </c>
      <c r="BI78" s="35">
        <f>G78*AP78</f>
        <v>0</v>
      </c>
      <c r="BJ78" s="35">
        <f>G78*H78</f>
        <v>0</v>
      </c>
      <c r="BK78" s="35"/>
      <c r="BL78" s="35">
        <v>56</v>
      </c>
      <c r="BW78" s="35" t="str">
        <f>I78</f>
        <v>21</v>
      </c>
      <c r="BX78" s="4" t="s">
        <v>189</v>
      </c>
    </row>
    <row r="79" spans="1:76" ht="13.5" customHeight="1" x14ac:dyDescent="0.4">
      <c r="A79" s="38"/>
      <c r="C79" s="43" t="s">
        <v>82</v>
      </c>
      <c r="D79" s="94" t="s">
        <v>190</v>
      </c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6"/>
    </row>
    <row r="80" spans="1:76" ht="14.6" x14ac:dyDescent="0.4">
      <c r="A80" s="38"/>
      <c r="D80" s="39" t="s">
        <v>191</v>
      </c>
      <c r="E80" s="40" t="s">
        <v>56</v>
      </c>
      <c r="G80" s="41">
        <v>43.2</v>
      </c>
      <c r="P80" s="42"/>
    </row>
    <row r="81" spans="1:76" ht="14.6" x14ac:dyDescent="0.4">
      <c r="A81" s="2" t="s">
        <v>192</v>
      </c>
      <c r="B81" s="3" t="s">
        <v>57</v>
      </c>
      <c r="C81" s="3" t="s">
        <v>193</v>
      </c>
      <c r="D81" s="84" t="s">
        <v>194</v>
      </c>
      <c r="E81" s="85"/>
      <c r="F81" s="3" t="s">
        <v>64</v>
      </c>
      <c r="G81" s="35">
        <v>145.5</v>
      </c>
      <c r="H81" s="82"/>
      <c r="I81" s="36" t="s">
        <v>65</v>
      </c>
      <c r="J81" s="35">
        <f>G81*AO81</f>
        <v>0</v>
      </c>
      <c r="K81" s="35">
        <f>G81*AP81</f>
        <v>0</v>
      </c>
      <c r="L81" s="35">
        <f>G81*H81</f>
        <v>0</v>
      </c>
      <c r="M81" s="35">
        <f>L81*(1+BW81/100)</f>
        <v>0</v>
      </c>
      <c r="N81" s="35">
        <v>0.441</v>
      </c>
      <c r="O81" s="35">
        <f>G81*N81</f>
        <v>64.165499999999994</v>
      </c>
      <c r="P81" s="37" t="s">
        <v>66</v>
      </c>
      <c r="Z81" s="35">
        <f>IF(AQ81="5",BJ81,0)</f>
        <v>0</v>
      </c>
      <c r="AB81" s="35">
        <f>IF(AQ81="1",BH81,0)</f>
        <v>0</v>
      </c>
      <c r="AC81" s="35">
        <f>IF(AQ81="1",BI81,0)</f>
        <v>0</v>
      </c>
      <c r="AD81" s="35">
        <f>IF(AQ81="7",BH81,0)</f>
        <v>0</v>
      </c>
      <c r="AE81" s="35">
        <f>IF(AQ81="7",BI81,0)</f>
        <v>0</v>
      </c>
      <c r="AF81" s="35">
        <f>IF(AQ81="2",BH81,0)</f>
        <v>0</v>
      </c>
      <c r="AG81" s="35">
        <f>IF(AQ81="2",BI81,0)</f>
        <v>0</v>
      </c>
      <c r="AH81" s="35">
        <f>IF(AQ81="0",BJ81,0)</f>
        <v>0</v>
      </c>
      <c r="AI81" s="12" t="s">
        <v>57</v>
      </c>
      <c r="AJ81" s="35">
        <f>IF(AN81=0,L81,0)</f>
        <v>0</v>
      </c>
      <c r="AK81" s="35">
        <f>IF(AN81=12,L81,0)</f>
        <v>0</v>
      </c>
      <c r="AL81" s="35">
        <f>IF(AN81=21,L81,0)</f>
        <v>0</v>
      </c>
      <c r="AN81" s="35">
        <v>21</v>
      </c>
      <c r="AO81" s="35">
        <f>H81*0.84595186</f>
        <v>0</v>
      </c>
      <c r="AP81" s="35">
        <f>H81*(1-0.84595186)</f>
        <v>0</v>
      </c>
      <c r="AQ81" s="36" t="s">
        <v>61</v>
      </c>
      <c r="AV81" s="35">
        <f>AW81+AX81</f>
        <v>0</v>
      </c>
      <c r="AW81" s="35">
        <f>G81*AO81</f>
        <v>0</v>
      </c>
      <c r="AX81" s="35">
        <f>G81*AP81</f>
        <v>0</v>
      </c>
      <c r="AY81" s="36" t="s">
        <v>177</v>
      </c>
      <c r="AZ81" s="36" t="s">
        <v>178</v>
      </c>
      <c r="BA81" s="12" t="s">
        <v>69</v>
      </c>
      <c r="BC81" s="35">
        <f>AW81+AX81</f>
        <v>0</v>
      </c>
      <c r="BD81" s="35">
        <f>H81/(100-BE81)*100</f>
        <v>0</v>
      </c>
      <c r="BE81" s="35">
        <v>0</v>
      </c>
      <c r="BF81" s="35">
        <f>O81</f>
        <v>64.165499999999994</v>
      </c>
      <c r="BH81" s="35">
        <f>G81*AO81</f>
        <v>0</v>
      </c>
      <c r="BI81" s="35">
        <f>G81*AP81</f>
        <v>0</v>
      </c>
      <c r="BJ81" s="35">
        <f>G81*H81</f>
        <v>0</v>
      </c>
      <c r="BK81" s="35"/>
      <c r="BL81" s="35">
        <v>56</v>
      </c>
      <c r="BW81" s="35" t="str">
        <f>I81</f>
        <v>21</v>
      </c>
      <c r="BX81" s="4" t="s">
        <v>194</v>
      </c>
    </row>
    <row r="82" spans="1:76" ht="13.5" customHeight="1" x14ac:dyDescent="0.4">
      <c r="A82" s="38"/>
      <c r="C82" s="43" t="s">
        <v>82</v>
      </c>
      <c r="D82" s="94" t="s">
        <v>195</v>
      </c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6"/>
    </row>
    <row r="83" spans="1:76" ht="14.6" x14ac:dyDescent="0.4">
      <c r="A83" s="38"/>
      <c r="D83" s="39" t="s">
        <v>196</v>
      </c>
      <c r="E83" s="40" t="s">
        <v>56</v>
      </c>
      <c r="G83" s="41">
        <v>145.5</v>
      </c>
      <c r="P83" s="42"/>
    </row>
    <row r="84" spans="1:76" ht="14.6" x14ac:dyDescent="0.4">
      <c r="A84" s="31" t="s">
        <v>56</v>
      </c>
      <c r="B84" s="32" t="s">
        <v>57</v>
      </c>
      <c r="C84" s="32" t="s">
        <v>197</v>
      </c>
      <c r="D84" s="89" t="s">
        <v>198</v>
      </c>
      <c r="E84" s="90"/>
      <c r="F84" s="33" t="s">
        <v>4</v>
      </c>
      <c r="G84" s="33" t="s">
        <v>4</v>
      </c>
      <c r="H84" s="33" t="s">
        <v>4</v>
      </c>
      <c r="I84" s="33" t="s">
        <v>4</v>
      </c>
      <c r="J84" s="1">
        <f>SUM(J85:J94)</f>
        <v>0</v>
      </c>
      <c r="K84" s="1">
        <f>SUM(K85:K94)</f>
        <v>0</v>
      </c>
      <c r="L84" s="1">
        <f>SUM(L85:L94)</f>
        <v>0</v>
      </c>
      <c r="M84" s="1">
        <f>SUM(M85:M94)</f>
        <v>0</v>
      </c>
      <c r="N84" s="12" t="s">
        <v>56</v>
      </c>
      <c r="O84" s="1">
        <f>SUM(O85:O94)</f>
        <v>108.415824</v>
      </c>
      <c r="P84" s="34" t="s">
        <v>56</v>
      </c>
      <c r="AI84" s="12" t="s">
        <v>57</v>
      </c>
      <c r="AS84" s="1">
        <f>SUM(AJ85:AJ94)</f>
        <v>0</v>
      </c>
      <c r="AT84" s="1">
        <f>SUM(AK85:AK94)</f>
        <v>0</v>
      </c>
      <c r="AU84" s="1">
        <f>SUM(AL85:AL94)</f>
        <v>0</v>
      </c>
    </row>
    <row r="85" spans="1:76" ht="14.6" x14ac:dyDescent="0.4">
      <c r="A85" s="2" t="s">
        <v>199</v>
      </c>
      <c r="B85" s="3" t="s">
        <v>57</v>
      </c>
      <c r="C85" s="3" t="s">
        <v>200</v>
      </c>
      <c r="D85" s="84" t="s">
        <v>201</v>
      </c>
      <c r="E85" s="85"/>
      <c r="F85" s="3" t="s">
        <v>64</v>
      </c>
      <c r="G85" s="35">
        <v>689.7</v>
      </c>
      <c r="H85" s="82"/>
      <c r="I85" s="36" t="s">
        <v>65</v>
      </c>
      <c r="J85" s="35">
        <f>G85*AO85</f>
        <v>0</v>
      </c>
      <c r="K85" s="35">
        <f>G85*AP85</f>
        <v>0</v>
      </c>
      <c r="L85" s="35">
        <f>G85*H85</f>
        <v>0</v>
      </c>
      <c r="M85" s="35">
        <f>L85*(1+BW85/100)</f>
        <v>0</v>
      </c>
      <c r="N85" s="35">
        <v>3.1E-4</v>
      </c>
      <c r="O85" s="35">
        <f>G85*N85</f>
        <v>0.21380700000000002</v>
      </c>
      <c r="P85" s="37" t="s">
        <v>202</v>
      </c>
      <c r="Z85" s="35">
        <f>IF(AQ85="5",BJ85,0)</f>
        <v>0</v>
      </c>
      <c r="AB85" s="35">
        <f>IF(AQ85="1",BH85,0)</f>
        <v>0</v>
      </c>
      <c r="AC85" s="35">
        <f>IF(AQ85="1",BI85,0)</f>
        <v>0</v>
      </c>
      <c r="AD85" s="35">
        <f>IF(AQ85="7",BH85,0)</f>
        <v>0</v>
      </c>
      <c r="AE85" s="35">
        <f>IF(AQ85="7",BI85,0)</f>
        <v>0</v>
      </c>
      <c r="AF85" s="35">
        <f>IF(AQ85="2",BH85,0)</f>
        <v>0</v>
      </c>
      <c r="AG85" s="35">
        <f>IF(AQ85="2",BI85,0)</f>
        <v>0</v>
      </c>
      <c r="AH85" s="35">
        <f>IF(AQ85="0",BJ85,0)</f>
        <v>0</v>
      </c>
      <c r="AI85" s="12" t="s">
        <v>57</v>
      </c>
      <c r="AJ85" s="35">
        <f>IF(AN85=0,L85,0)</f>
        <v>0</v>
      </c>
      <c r="AK85" s="35">
        <f>IF(AN85=12,L85,0)</f>
        <v>0</v>
      </c>
      <c r="AL85" s="35">
        <f>IF(AN85=21,L85,0)</f>
        <v>0</v>
      </c>
      <c r="AN85" s="35">
        <v>21</v>
      </c>
      <c r="AO85" s="35">
        <f>H85*0.869373899</f>
        <v>0</v>
      </c>
      <c r="AP85" s="35">
        <f>H85*(1-0.869373899)</f>
        <v>0</v>
      </c>
      <c r="AQ85" s="36" t="s">
        <v>61</v>
      </c>
      <c r="AV85" s="35">
        <f>AW85+AX85</f>
        <v>0</v>
      </c>
      <c r="AW85" s="35">
        <f>G85*AO85</f>
        <v>0</v>
      </c>
      <c r="AX85" s="35">
        <f>G85*AP85</f>
        <v>0</v>
      </c>
      <c r="AY85" s="36" t="s">
        <v>203</v>
      </c>
      <c r="AZ85" s="36" t="s">
        <v>178</v>
      </c>
      <c r="BA85" s="12" t="s">
        <v>69</v>
      </c>
      <c r="BC85" s="35">
        <f>AW85+AX85</f>
        <v>0</v>
      </c>
      <c r="BD85" s="35">
        <f>H85/(100-BE85)*100</f>
        <v>0</v>
      </c>
      <c r="BE85" s="35">
        <v>0</v>
      </c>
      <c r="BF85" s="35">
        <f>O85</f>
        <v>0.21380700000000002</v>
      </c>
      <c r="BH85" s="35">
        <f>G85*AO85</f>
        <v>0</v>
      </c>
      <c r="BI85" s="35">
        <f>G85*AP85</f>
        <v>0</v>
      </c>
      <c r="BJ85" s="35">
        <f>G85*H85</f>
        <v>0</v>
      </c>
      <c r="BK85" s="35"/>
      <c r="BL85" s="35">
        <v>57</v>
      </c>
      <c r="BW85" s="35" t="str">
        <f>I85</f>
        <v>21</v>
      </c>
      <c r="BX85" s="4" t="s">
        <v>201</v>
      </c>
    </row>
    <row r="86" spans="1:76" ht="14.6" x14ac:dyDescent="0.4">
      <c r="A86" s="38"/>
      <c r="D86" s="39" t="s">
        <v>204</v>
      </c>
      <c r="E86" s="40" t="s">
        <v>56</v>
      </c>
      <c r="G86" s="41">
        <v>689.7</v>
      </c>
      <c r="P86" s="42"/>
    </row>
    <row r="87" spans="1:76" ht="14.6" x14ac:dyDescent="0.4">
      <c r="A87" s="2" t="s">
        <v>205</v>
      </c>
      <c r="B87" s="3" t="s">
        <v>57</v>
      </c>
      <c r="C87" s="3" t="s">
        <v>206</v>
      </c>
      <c r="D87" s="84" t="s">
        <v>207</v>
      </c>
      <c r="E87" s="85"/>
      <c r="F87" s="3" t="s">
        <v>64</v>
      </c>
      <c r="G87" s="35">
        <v>12</v>
      </c>
      <c r="H87" s="82"/>
      <c r="I87" s="36" t="s">
        <v>65</v>
      </c>
      <c r="J87" s="35">
        <f>G87*AO87</f>
        <v>0</v>
      </c>
      <c r="K87" s="35">
        <f>G87*AP87</f>
        <v>0</v>
      </c>
      <c r="L87" s="35">
        <f>G87*H87</f>
        <v>0</v>
      </c>
      <c r="M87" s="35">
        <f>L87*(1+BW87/100)</f>
        <v>0</v>
      </c>
      <c r="N87" s="35">
        <v>1.19668</v>
      </c>
      <c r="O87" s="35">
        <f>G87*N87</f>
        <v>14.36016</v>
      </c>
      <c r="P87" s="37" t="s">
        <v>66</v>
      </c>
      <c r="Z87" s="35">
        <f>IF(AQ87="5",BJ87,0)</f>
        <v>0</v>
      </c>
      <c r="AB87" s="35">
        <f>IF(AQ87="1",BH87,0)</f>
        <v>0</v>
      </c>
      <c r="AC87" s="35">
        <f>IF(AQ87="1",BI87,0)</f>
        <v>0</v>
      </c>
      <c r="AD87" s="35">
        <f>IF(AQ87="7",BH87,0)</f>
        <v>0</v>
      </c>
      <c r="AE87" s="35">
        <f>IF(AQ87="7",BI87,0)</f>
        <v>0</v>
      </c>
      <c r="AF87" s="35">
        <f>IF(AQ87="2",BH87,0)</f>
        <v>0</v>
      </c>
      <c r="AG87" s="35">
        <f>IF(AQ87="2",BI87,0)</f>
        <v>0</v>
      </c>
      <c r="AH87" s="35">
        <f>IF(AQ87="0",BJ87,0)</f>
        <v>0</v>
      </c>
      <c r="AI87" s="12" t="s">
        <v>57</v>
      </c>
      <c r="AJ87" s="35">
        <f>IF(AN87=0,L87,0)</f>
        <v>0</v>
      </c>
      <c r="AK87" s="35">
        <f>IF(AN87=12,L87,0)</f>
        <v>0</v>
      </c>
      <c r="AL87" s="35">
        <f>IF(AN87=21,L87,0)</f>
        <v>0</v>
      </c>
      <c r="AN87" s="35">
        <v>21</v>
      </c>
      <c r="AO87" s="35">
        <f>H87*0.757633732</f>
        <v>0</v>
      </c>
      <c r="AP87" s="35">
        <f>H87*(1-0.757633732)</f>
        <v>0</v>
      </c>
      <c r="AQ87" s="36" t="s">
        <v>61</v>
      </c>
      <c r="AV87" s="35">
        <f>AW87+AX87</f>
        <v>0</v>
      </c>
      <c r="AW87" s="35">
        <f>G87*AO87</f>
        <v>0</v>
      </c>
      <c r="AX87" s="35">
        <f>G87*AP87</f>
        <v>0</v>
      </c>
      <c r="AY87" s="36" t="s">
        <v>203</v>
      </c>
      <c r="AZ87" s="36" t="s">
        <v>178</v>
      </c>
      <c r="BA87" s="12" t="s">
        <v>69</v>
      </c>
      <c r="BC87" s="35">
        <f>AW87+AX87</f>
        <v>0</v>
      </c>
      <c r="BD87" s="35">
        <f>H87/(100-BE87)*100</f>
        <v>0</v>
      </c>
      <c r="BE87" s="35">
        <v>0</v>
      </c>
      <c r="BF87" s="35">
        <f>O87</f>
        <v>14.36016</v>
      </c>
      <c r="BH87" s="35">
        <f>G87*AO87</f>
        <v>0</v>
      </c>
      <c r="BI87" s="35">
        <f>G87*AP87</f>
        <v>0</v>
      </c>
      <c r="BJ87" s="35">
        <f>G87*H87</f>
        <v>0</v>
      </c>
      <c r="BK87" s="35"/>
      <c r="BL87" s="35">
        <v>57</v>
      </c>
      <c r="BW87" s="35" t="str">
        <f>I87</f>
        <v>21</v>
      </c>
      <c r="BX87" s="4" t="s">
        <v>207</v>
      </c>
    </row>
    <row r="88" spans="1:76" ht="14.6" x14ac:dyDescent="0.4">
      <c r="A88" s="38"/>
      <c r="D88" s="39" t="s">
        <v>84</v>
      </c>
      <c r="E88" s="40" t="s">
        <v>56</v>
      </c>
      <c r="G88" s="41">
        <v>12</v>
      </c>
      <c r="P88" s="42"/>
    </row>
    <row r="89" spans="1:76" ht="27" customHeight="1" x14ac:dyDescent="0.4">
      <c r="A89" s="38"/>
      <c r="C89" s="44" t="s">
        <v>85</v>
      </c>
      <c r="D89" s="86" t="s">
        <v>208</v>
      </c>
      <c r="E89" s="87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8"/>
    </row>
    <row r="90" spans="1:76" ht="14.6" x14ac:dyDescent="0.4">
      <c r="A90" s="2" t="s">
        <v>209</v>
      </c>
      <c r="B90" s="3" t="s">
        <v>57</v>
      </c>
      <c r="C90" s="3" t="s">
        <v>210</v>
      </c>
      <c r="D90" s="84" t="s">
        <v>211</v>
      </c>
      <c r="E90" s="85"/>
      <c r="F90" s="3" t="s">
        <v>64</v>
      </c>
      <c r="G90" s="35">
        <v>5.25</v>
      </c>
      <c r="H90" s="82"/>
      <c r="I90" s="36" t="s">
        <v>65</v>
      </c>
      <c r="J90" s="35">
        <f>G90*AO90</f>
        <v>0</v>
      </c>
      <c r="K90" s="35">
        <f>G90*AP90</f>
        <v>0</v>
      </c>
      <c r="L90" s="35">
        <f>G90*H90</f>
        <v>0</v>
      </c>
      <c r="M90" s="35">
        <f>L90*(1+BW90/100)</f>
        <v>0</v>
      </c>
      <c r="N90" s="35">
        <v>0.84101999999999999</v>
      </c>
      <c r="O90" s="35">
        <f>G90*N90</f>
        <v>4.4153549999999999</v>
      </c>
      <c r="P90" s="37" t="s">
        <v>66</v>
      </c>
      <c r="Z90" s="35">
        <f>IF(AQ90="5",BJ90,0)</f>
        <v>0</v>
      </c>
      <c r="AB90" s="35">
        <f>IF(AQ90="1",BH90,0)</f>
        <v>0</v>
      </c>
      <c r="AC90" s="35">
        <f>IF(AQ90="1",BI90,0)</f>
        <v>0</v>
      </c>
      <c r="AD90" s="35">
        <f>IF(AQ90="7",BH90,0)</f>
        <v>0</v>
      </c>
      <c r="AE90" s="35">
        <f>IF(AQ90="7",BI90,0)</f>
        <v>0</v>
      </c>
      <c r="AF90" s="35">
        <f>IF(AQ90="2",BH90,0)</f>
        <v>0</v>
      </c>
      <c r="AG90" s="35">
        <f>IF(AQ90="2",BI90,0)</f>
        <v>0</v>
      </c>
      <c r="AH90" s="35">
        <f>IF(AQ90="0",BJ90,0)</f>
        <v>0</v>
      </c>
      <c r="AI90" s="12" t="s">
        <v>57</v>
      </c>
      <c r="AJ90" s="35">
        <f>IF(AN90=0,L90,0)</f>
        <v>0</v>
      </c>
      <c r="AK90" s="35">
        <f>IF(AN90=12,L90,0)</f>
        <v>0</v>
      </c>
      <c r="AL90" s="35">
        <f>IF(AN90=21,L90,0)</f>
        <v>0</v>
      </c>
      <c r="AN90" s="35">
        <v>21</v>
      </c>
      <c r="AO90" s="35">
        <f>H90*0.759958449</f>
        <v>0</v>
      </c>
      <c r="AP90" s="35">
        <f>H90*(1-0.759958449)</f>
        <v>0</v>
      </c>
      <c r="AQ90" s="36" t="s">
        <v>61</v>
      </c>
      <c r="AV90" s="35">
        <f>AW90+AX90</f>
        <v>0</v>
      </c>
      <c r="AW90" s="35">
        <f>G90*AO90</f>
        <v>0</v>
      </c>
      <c r="AX90" s="35">
        <f>G90*AP90</f>
        <v>0</v>
      </c>
      <c r="AY90" s="36" t="s">
        <v>203</v>
      </c>
      <c r="AZ90" s="36" t="s">
        <v>178</v>
      </c>
      <c r="BA90" s="12" t="s">
        <v>69</v>
      </c>
      <c r="BC90" s="35">
        <f>AW90+AX90</f>
        <v>0</v>
      </c>
      <c r="BD90" s="35">
        <f>H90/(100-BE90)*100</f>
        <v>0</v>
      </c>
      <c r="BE90" s="35">
        <v>0</v>
      </c>
      <c r="BF90" s="35">
        <f>O90</f>
        <v>4.4153549999999999</v>
      </c>
      <c r="BH90" s="35">
        <f>G90*AO90</f>
        <v>0</v>
      </c>
      <c r="BI90" s="35">
        <f>G90*AP90</f>
        <v>0</v>
      </c>
      <c r="BJ90" s="35">
        <f>G90*H90</f>
        <v>0</v>
      </c>
      <c r="BK90" s="35"/>
      <c r="BL90" s="35">
        <v>57</v>
      </c>
      <c r="BW90" s="35" t="str">
        <f>I90</f>
        <v>21</v>
      </c>
      <c r="BX90" s="4" t="s">
        <v>211</v>
      </c>
    </row>
    <row r="91" spans="1:76" ht="13.5" customHeight="1" x14ac:dyDescent="0.4">
      <c r="A91" s="38"/>
      <c r="C91" s="43" t="s">
        <v>82</v>
      </c>
      <c r="D91" s="94" t="s">
        <v>212</v>
      </c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6"/>
    </row>
    <row r="92" spans="1:76" ht="14.6" x14ac:dyDescent="0.4">
      <c r="A92" s="38"/>
      <c r="D92" s="39" t="s">
        <v>91</v>
      </c>
      <c r="E92" s="40" t="s">
        <v>56</v>
      </c>
      <c r="G92" s="41">
        <v>5.25</v>
      </c>
      <c r="P92" s="42"/>
    </row>
    <row r="93" spans="1:76" ht="27" customHeight="1" x14ac:dyDescent="0.4">
      <c r="A93" s="38"/>
      <c r="C93" s="44" t="s">
        <v>85</v>
      </c>
      <c r="D93" s="86" t="s">
        <v>213</v>
      </c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8"/>
    </row>
    <row r="94" spans="1:76" ht="14.6" x14ac:dyDescent="0.4">
      <c r="A94" s="2" t="s">
        <v>214</v>
      </c>
      <c r="B94" s="3" t="s">
        <v>57</v>
      </c>
      <c r="C94" s="3" t="s">
        <v>215</v>
      </c>
      <c r="D94" s="84" t="s">
        <v>216</v>
      </c>
      <c r="E94" s="85"/>
      <c r="F94" s="3" t="s">
        <v>64</v>
      </c>
      <c r="G94" s="35">
        <v>689.7</v>
      </c>
      <c r="H94" s="82"/>
      <c r="I94" s="36" t="s">
        <v>65</v>
      </c>
      <c r="J94" s="35">
        <f>G94*AO94</f>
        <v>0</v>
      </c>
      <c r="K94" s="35">
        <f>G94*AP94</f>
        <v>0</v>
      </c>
      <c r="L94" s="35">
        <f>G94*H94</f>
        <v>0</v>
      </c>
      <c r="M94" s="35">
        <f>L94*(1+BW94/100)</f>
        <v>0</v>
      </c>
      <c r="N94" s="35">
        <v>0.12966</v>
      </c>
      <c r="O94" s="35">
        <f>G94*N94</f>
        <v>89.426501999999999</v>
      </c>
      <c r="P94" s="37" t="s">
        <v>66</v>
      </c>
      <c r="Z94" s="35">
        <f>IF(AQ94="5",BJ94,0)</f>
        <v>0</v>
      </c>
      <c r="AB94" s="35">
        <f>IF(AQ94="1",BH94,0)</f>
        <v>0</v>
      </c>
      <c r="AC94" s="35">
        <f>IF(AQ94="1",BI94,0)</f>
        <v>0</v>
      </c>
      <c r="AD94" s="35">
        <f>IF(AQ94="7",BH94,0)</f>
        <v>0</v>
      </c>
      <c r="AE94" s="35">
        <f>IF(AQ94="7",BI94,0)</f>
        <v>0</v>
      </c>
      <c r="AF94" s="35">
        <f>IF(AQ94="2",BH94,0)</f>
        <v>0</v>
      </c>
      <c r="AG94" s="35">
        <f>IF(AQ94="2",BI94,0)</f>
        <v>0</v>
      </c>
      <c r="AH94" s="35">
        <f>IF(AQ94="0",BJ94,0)</f>
        <v>0</v>
      </c>
      <c r="AI94" s="12" t="s">
        <v>57</v>
      </c>
      <c r="AJ94" s="35">
        <f>IF(AN94=0,L94,0)</f>
        <v>0</v>
      </c>
      <c r="AK94" s="35">
        <f>IF(AN94=12,L94,0)</f>
        <v>0</v>
      </c>
      <c r="AL94" s="35">
        <f>IF(AN94=21,L94,0)</f>
        <v>0</v>
      </c>
      <c r="AN94" s="35">
        <v>21</v>
      </c>
      <c r="AO94" s="35">
        <f>H94*0.660235566</f>
        <v>0</v>
      </c>
      <c r="AP94" s="35">
        <f>H94*(1-0.660235566)</f>
        <v>0</v>
      </c>
      <c r="AQ94" s="36" t="s">
        <v>61</v>
      </c>
      <c r="AV94" s="35">
        <f>AW94+AX94</f>
        <v>0</v>
      </c>
      <c r="AW94" s="35">
        <f>G94*AO94</f>
        <v>0</v>
      </c>
      <c r="AX94" s="35">
        <f>G94*AP94</f>
        <v>0</v>
      </c>
      <c r="AY94" s="36" t="s">
        <v>203</v>
      </c>
      <c r="AZ94" s="36" t="s">
        <v>178</v>
      </c>
      <c r="BA94" s="12" t="s">
        <v>69</v>
      </c>
      <c r="BC94" s="35">
        <f>AW94+AX94</f>
        <v>0</v>
      </c>
      <c r="BD94" s="35">
        <f>H94/(100-BE94)*100</f>
        <v>0</v>
      </c>
      <c r="BE94" s="35">
        <v>0</v>
      </c>
      <c r="BF94" s="35">
        <f>O94</f>
        <v>89.426501999999999</v>
      </c>
      <c r="BH94" s="35">
        <f>G94*AO94</f>
        <v>0</v>
      </c>
      <c r="BI94" s="35">
        <f>G94*AP94</f>
        <v>0</v>
      </c>
      <c r="BJ94" s="35">
        <f>G94*H94</f>
        <v>0</v>
      </c>
      <c r="BK94" s="35"/>
      <c r="BL94" s="35">
        <v>57</v>
      </c>
      <c r="BW94" s="35" t="str">
        <f>I94</f>
        <v>21</v>
      </c>
      <c r="BX94" s="4" t="s">
        <v>216</v>
      </c>
    </row>
    <row r="95" spans="1:76" ht="13.5" customHeight="1" x14ac:dyDescent="0.4">
      <c r="A95" s="38"/>
      <c r="C95" s="43" t="s">
        <v>82</v>
      </c>
      <c r="D95" s="94" t="s">
        <v>217</v>
      </c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6"/>
    </row>
    <row r="96" spans="1:76" ht="14.6" x14ac:dyDescent="0.4">
      <c r="A96" s="38"/>
      <c r="D96" s="39" t="s">
        <v>218</v>
      </c>
      <c r="E96" s="40" t="s">
        <v>56</v>
      </c>
      <c r="G96" s="41">
        <v>689.7</v>
      </c>
      <c r="P96" s="42"/>
    </row>
    <row r="97" spans="1:76" ht="14.6" x14ac:dyDescent="0.4">
      <c r="A97" s="31" t="s">
        <v>56</v>
      </c>
      <c r="B97" s="32" t="s">
        <v>57</v>
      </c>
      <c r="C97" s="32" t="s">
        <v>219</v>
      </c>
      <c r="D97" s="89" t="s">
        <v>220</v>
      </c>
      <c r="E97" s="90"/>
      <c r="F97" s="33" t="s">
        <v>4</v>
      </c>
      <c r="G97" s="33" t="s">
        <v>4</v>
      </c>
      <c r="H97" s="33" t="s">
        <v>4</v>
      </c>
      <c r="I97" s="33" t="s">
        <v>4</v>
      </c>
      <c r="J97" s="1">
        <f>SUM(J98:J106)</f>
        <v>0</v>
      </c>
      <c r="K97" s="1">
        <f>SUM(K98:K106)</f>
        <v>0</v>
      </c>
      <c r="L97" s="1">
        <f>SUM(L98:L106)</f>
        <v>0</v>
      </c>
      <c r="M97" s="1">
        <f>SUM(M98:M106)</f>
        <v>0</v>
      </c>
      <c r="N97" s="12" t="s">
        <v>56</v>
      </c>
      <c r="O97" s="1">
        <f>SUM(O98:O106)</f>
        <v>3.1329599999999997</v>
      </c>
      <c r="P97" s="34" t="s">
        <v>56</v>
      </c>
      <c r="AI97" s="12" t="s">
        <v>57</v>
      </c>
      <c r="AS97" s="1">
        <f>SUM(AJ98:AJ106)</f>
        <v>0</v>
      </c>
      <c r="AT97" s="1">
        <f>SUM(AK98:AK106)</f>
        <v>0</v>
      </c>
      <c r="AU97" s="1">
        <f>SUM(AL98:AL106)</f>
        <v>0</v>
      </c>
    </row>
    <row r="98" spans="1:76" ht="14.6" x14ac:dyDescent="0.4">
      <c r="A98" s="2" t="s">
        <v>221</v>
      </c>
      <c r="B98" s="3" t="s">
        <v>57</v>
      </c>
      <c r="C98" s="3" t="s">
        <v>222</v>
      </c>
      <c r="D98" s="84" t="s">
        <v>223</v>
      </c>
      <c r="E98" s="85"/>
      <c r="F98" s="3" t="s">
        <v>64</v>
      </c>
      <c r="G98" s="35">
        <v>24.4</v>
      </c>
      <c r="H98" s="82"/>
      <c r="I98" s="36" t="s">
        <v>65</v>
      </c>
      <c r="J98" s="35">
        <f>G98*AO98</f>
        <v>0</v>
      </c>
      <c r="K98" s="35">
        <f>G98*AP98</f>
        <v>0</v>
      </c>
      <c r="L98" s="35">
        <f>G98*H98</f>
        <v>0</v>
      </c>
      <c r="M98" s="35">
        <f>L98*(1+BW98/100)</f>
        <v>0</v>
      </c>
      <c r="N98" s="35">
        <v>7.3899999999999993E-2</v>
      </c>
      <c r="O98" s="35">
        <f>G98*N98</f>
        <v>1.8031599999999997</v>
      </c>
      <c r="P98" s="37" t="s">
        <v>66</v>
      </c>
      <c r="Z98" s="35">
        <f>IF(AQ98="5",BJ98,0)</f>
        <v>0</v>
      </c>
      <c r="AB98" s="35">
        <f>IF(AQ98="1",BH98,0)</f>
        <v>0</v>
      </c>
      <c r="AC98" s="35">
        <f>IF(AQ98="1",BI98,0)</f>
        <v>0</v>
      </c>
      <c r="AD98" s="35">
        <f>IF(AQ98="7",BH98,0)</f>
        <v>0</v>
      </c>
      <c r="AE98" s="35">
        <f>IF(AQ98="7",BI98,0)</f>
        <v>0</v>
      </c>
      <c r="AF98" s="35">
        <f>IF(AQ98="2",BH98,0)</f>
        <v>0</v>
      </c>
      <c r="AG98" s="35">
        <f>IF(AQ98="2",BI98,0)</f>
        <v>0</v>
      </c>
      <c r="AH98" s="35">
        <f>IF(AQ98="0",BJ98,0)</f>
        <v>0</v>
      </c>
      <c r="AI98" s="12" t="s">
        <v>57</v>
      </c>
      <c r="AJ98" s="35">
        <f>IF(AN98=0,L98,0)</f>
        <v>0</v>
      </c>
      <c r="AK98" s="35">
        <f>IF(AN98=12,L98,0)</f>
        <v>0</v>
      </c>
      <c r="AL98" s="35">
        <f>IF(AN98=21,L98,0)</f>
        <v>0</v>
      </c>
      <c r="AN98" s="35">
        <v>21</v>
      </c>
      <c r="AO98" s="35">
        <f>H98*0.170541401</f>
        <v>0</v>
      </c>
      <c r="AP98" s="35">
        <f>H98*(1-0.170541401)</f>
        <v>0</v>
      </c>
      <c r="AQ98" s="36" t="s">
        <v>61</v>
      </c>
      <c r="AV98" s="35">
        <f>AW98+AX98</f>
        <v>0</v>
      </c>
      <c r="AW98" s="35">
        <f>G98*AO98</f>
        <v>0</v>
      </c>
      <c r="AX98" s="35">
        <f>G98*AP98</f>
        <v>0</v>
      </c>
      <c r="AY98" s="36" t="s">
        <v>224</v>
      </c>
      <c r="AZ98" s="36" t="s">
        <v>178</v>
      </c>
      <c r="BA98" s="12" t="s">
        <v>69</v>
      </c>
      <c r="BC98" s="35">
        <f>AW98+AX98</f>
        <v>0</v>
      </c>
      <c r="BD98" s="35">
        <f>H98/(100-BE98)*100</f>
        <v>0</v>
      </c>
      <c r="BE98" s="35">
        <v>0</v>
      </c>
      <c r="BF98" s="35">
        <f>O98</f>
        <v>1.8031599999999997</v>
      </c>
      <c r="BH98" s="35">
        <f>G98*AO98</f>
        <v>0</v>
      </c>
      <c r="BI98" s="35">
        <f>G98*AP98</f>
        <v>0</v>
      </c>
      <c r="BJ98" s="35">
        <f>G98*H98</f>
        <v>0</v>
      </c>
      <c r="BK98" s="35"/>
      <c r="BL98" s="35">
        <v>59</v>
      </c>
      <c r="BW98" s="35" t="str">
        <f>I98</f>
        <v>21</v>
      </c>
      <c r="BX98" s="4" t="s">
        <v>223</v>
      </c>
    </row>
    <row r="99" spans="1:76" ht="13.5" customHeight="1" x14ac:dyDescent="0.4">
      <c r="A99" s="38"/>
      <c r="C99" s="43" t="s">
        <v>82</v>
      </c>
      <c r="D99" s="94" t="s">
        <v>225</v>
      </c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6"/>
    </row>
    <row r="100" spans="1:76" ht="14.6" x14ac:dyDescent="0.4">
      <c r="A100" s="38"/>
      <c r="D100" s="39" t="s">
        <v>226</v>
      </c>
      <c r="E100" s="40" t="s">
        <v>56</v>
      </c>
      <c r="G100" s="41">
        <v>24.4</v>
      </c>
      <c r="P100" s="42"/>
    </row>
    <row r="101" spans="1:76" ht="14.6" x14ac:dyDescent="0.4">
      <c r="A101" s="2" t="s">
        <v>227</v>
      </c>
      <c r="B101" s="3" t="s">
        <v>57</v>
      </c>
      <c r="C101" s="3" t="s">
        <v>228</v>
      </c>
      <c r="D101" s="84" t="s">
        <v>229</v>
      </c>
      <c r="E101" s="85"/>
      <c r="F101" s="3" t="s">
        <v>64</v>
      </c>
      <c r="G101" s="35">
        <v>8</v>
      </c>
      <c r="H101" s="82"/>
      <c r="I101" s="36" t="s">
        <v>65</v>
      </c>
      <c r="J101" s="35">
        <f>G101*AO101</f>
        <v>0</v>
      </c>
      <c r="K101" s="35">
        <f>G101*AP101</f>
        <v>0</v>
      </c>
      <c r="L101" s="35">
        <f>G101*H101</f>
        <v>0</v>
      </c>
      <c r="M101" s="35">
        <f>L101*(1+BW101/100)</f>
        <v>0</v>
      </c>
      <c r="N101" s="35">
        <v>7.3899999999999993E-2</v>
      </c>
      <c r="O101" s="35">
        <f>G101*N101</f>
        <v>0.59119999999999995</v>
      </c>
      <c r="P101" s="37" t="s">
        <v>66</v>
      </c>
      <c r="Z101" s="35">
        <f>IF(AQ101="5",BJ101,0)</f>
        <v>0</v>
      </c>
      <c r="AB101" s="35">
        <f>IF(AQ101="1",BH101,0)</f>
        <v>0</v>
      </c>
      <c r="AC101" s="35">
        <f>IF(AQ101="1",BI101,0)</f>
        <v>0</v>
      </c>
      <c r="AD101" s="35">
        <f>IF(AQ101="7",BH101,0)</f>
        <v>0</v>
      </c>
      <c r="AE101" s="35">
        <f>IF(AQ101="7",BI101,0)</f>
        <v>0</v>
      </c>
      <c r="AF101" s="35">
        <f>IF(AQ101="2",BH101,0)</f>
        <v>0</v>
      </c>
      <c r="AG101" s="35">
        <f>IF(AQ101="2",BI101,0)</f>
        <v>0</v>
      </c>
      <c r="AH101" s="35">
        <f>IF(AQ101="0",BJ101,0)</f>
        <v>0</v>
      </c>
      <c r="AI101" s="12" t="s">
        <v>57</v>
      </c>
      <c r="AJ101" s="35">
        <f>IF(AN101=0,L101,0)</f>
        <v>0</v>
      </c>
      <c r="AK101" s="35">
        <f>IF(AN101=12,L101,0)</f>
        <v>0</v>
      </c>
      <c r="AL101" s="35">
        <f>IF(AN101=21,L101,0)</f>
        <v>0</v>
      </c>
      <c r="AN101" s="35">
        <v>21</v>
      </c>
      <c r="AO101" s="35">
        <f>H101*0.162272727</f>
        <v>0</v>
      </c>
      <c r="AP101" s="35">
        <f>H101*(1-0.162272727)</f>
        <v>0</v>
      </c>
      <c r="AQ101" s="36" t="s">
        <v>61</v>
      </c>
      <c r="AV101" s="35">
        <f>AW101+AX101</f>
        <v>0</v>
      </c>
      <c r="AW101" s="35">
        <f>G101*AO101</f>
        <v>0</v>
      </c>
      <c r="AX101" s="35">
        <f>G101*AP101</f>
        <v>0</v>
      </c>
      <c r="AY101" s="36" t="s">
        <v>224</v>
      </c>
      <c r="AZ101" s="36" t="s">
        <v>178</v>
      </c>
      <c r="BA101" s="12" t="s">
        <v>69</v>
      </c>
      <c r="BC101" s="35">
        <f>AW101+AX101</f>
        <v>0</v>
      </c>
      <c r="BD101" s="35">
        <f>H101/(100-BE101)*100</f>
        <v>0</v>
      </c>
      <c r="BE101" s="35">
        <v>0</v>
      </c>
      <c r="BF101" s="35">
        <f>O101</f>
        <v>0.59119999999999995</v>
      </c>
      <c r="BH101" s="35">
        <f>G101*AO101</f>
        <v>0</v>
      </c>
      <c r="BI101" s="35">
        <f>G101*AP101</f>
        <v>0</v>
      </c>
      <c r="BJ101" s="35">
        <f>G101*H101</f>
        <v>0</v>
      </c>
      <c r="BK101" s="35"/>
      <c r="BL101" s="35">
        <v>59</v>
      </c>
      <c r="BW101" s="35" t="str">
        <f>I101</f>
        <v>21</v>
      </c>
      <c r="BX101" s="4" t="s">
        <v>229</v>
      </c>
    </row>
    <row r="102" spans="1:76" ht="13.5" customHeight="1" x14ac:dyDescent="0.4">
      <c r="A102" s="38"/>
      <c r="C102" s="43" t="s">
        <v>82</v>
      </c>
      <c r="D102" s="94" t="s">
        <v>230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6"/>
    </row>
    <row r="103" spans="1:76" ht="14.6" x14ac:dyDescent="0.4">
      <c r="A103" s="2" t="s">
        <v>231</v>
      </c>
      <c r="B103" s="3" t="s">
        <v>57</v>
      </c>
      <c r="C103" s="3" t="s">
        <v>232</v>
      </c>
      <c r="D103" s="84" t="s">
        <v>233</v>
      </c>
      <c r="E103" s="85"/>
      <c r="F103" s="3" t="s">
        <v>98</v>
      </c>
      <c r="G103" s="35">
        <v>20</v>
      </c>
      <c r="H103" s="82"/>
      <c r="I103" s="36" t="s">
        <v>65</v>
      </c>
      <c r="J103" s="35">
        <f>G103*AO103</f>
        <v>0</v>
      </c>
      <c r="K103" s="35">
        <f>G103*AP103</f>
        <v>0</v>
      </c>
      <c r="L103" s="35">
        <f>G103*H103</f>
        <v>0</v>
      </c>
      <c r="M103" s="35">
        <f>L103*(1+BW103/100)</f>
        <v>0</v>
      </c>
      <c r="N103" s="35">
        <v>3.6000000000000002E-4</v>
      </c>
      <c r="O103" s="35">
        <f>G103*N103</f>
        <v>7.2000000000000007E-3</v>
      </c>
      <c r="P103" s="37" t="s">
        <v>66</v>
      </c>
      <c r="Z103" s="35">
        <f>IF(AQ103="5",BJ103,0)</f>
        <v>0</v>
      </c>
      <c r="AB103" s="35">
        <f>IF(AQ103="1",BH103,0)</f>
        <v>0</v>
      </c>
      <c r="AC103" s="35">
        <f>IF(AQ103="1",BI103,0)</f>
        <v>0</v>
      </c>
      <c r="AD103" s="35">
        <f>IF(AQ103="7",BH103,0)</f>
        <v>0</v>
      </c>
      <c r="AE103" s="35">
        <f>IF(AQ103="7",BI103,0)</f>
        <v>0</v>
      </c>
      <c r="AF103" s="35">
        <f>IF(AQ103="2",BH103,0)</f>
        <v>0</v>
      </c>
      <c r="AG103" s="35">
        <f>IF(AQ103="2",BI103,0)</f>
        <v>0</v>
      </c>
      <c r="AH103" s="35">
        <f>IF(AQ103="0",BJ103,0)</f>
        <v>0</v>
      </c>
      <c r="AI103" s="12" t="s">
        <v>57</v>
      </c>
      <c r="AJ103" s="35">
        <f>IF(AN103=0,L103,0)</f>
        <v>0</v>
      </c>
      <c r="AK103" s="35">
        <f>IF(AN103=12,L103,0)</f>
        <v>0</v>
      </c>
      <c r="AL103" s="35">
        <f>IF(AN103=21,L103,0)</f>
        <v>0</v>
      </c>
      <c r="AN103" s="35">
        <v>21</v>
      </c>
      <c r="AO103" s="35">
        <f>H103*0.055096322</f>
        <v>0</v>
      </c>
      <c r="AP103" s="35">
        <f>H103*(1-0.055096322)</f>
        <v>0</v>
      </c>
      <c r="AQ103" s="36" t="s">
        <v>61</v>
      </c>
      <c r="AV103" s="35">
        <f>AW103+AX103</f>
        <v>0</v>
      </c>
      <c r="AW103" s="35">
        <f>G103*AO103</f>
        <v>0</v>
      </c>
      <c r="AX103" s="35">
        <f>G103*AP103</f>
        <v>0</v>
      </c>
      <c r="AY103" s="36" t="s">
        <v>224</v>
      </c>
      <c r="AZ103" s="36" t="s">
        <v>178</v>
      </c>
      <c r="BA103" s="12" t="s">
        <v>69</v>
      </c>
      <c r="BC103" s="35">
        <f>AW103+AX103</f>
        <v>0</v>
      </c>
      <c r="BD103" s="35">
        <f>H103/(100-BE103)*100</f>
        <v>0</v>
      </c>
      <c r="BE103" s="35">
        <v>0</v>
      </c>
      <c r="BF103" s="35">
        <f>O103</f>
        <v>7.2000000000000007E-3</v>
      </c>
      <c r="BH103" s="35">
        <f>G103*AO103</f>
        <v>0</v>
      </c>
      <c r="BI103" s="35">
        <f>G103*AP103</f>
        <v>0</v>
      </c>
      <c r="BJ103" s="35">
        <f>G103*H103</f>
        <v>0</v>
      </c>
      <c r="BK103" s="35"/>
      <c r="BL103" s="35">
        <v>59</v>
      </c>
      <c r="BW103" s="35" t="str">
        <f>I103</f>
        <v>21</v>
      </c>
      <c r="BX103" s="4" t="s">
        <v>233</v>
      </c>
    </row>
    <row r="104" spans="1:76" ht="14.6" x14ac:dyDescent="0.4">
      <c r="A104" s="2" t="s">
        <v>234</v>
      </c>
      <c r="B104" s="3" t="s">
        <v>57</v>
      </c>
      <c r="C104" s="3" t="s">
        <v>235</v>
      </c>
      <c r="D104" s="84" t="s">
        <v>236</v>
      </c>
      <c r="E104" s="85"/>
      <c r="F104" s="3" t="s">
        <v>64</v>
      </c>
      <c r="G104" s="35">
        <v>6</v>
      </c>
      <c r="H104" s="82"/>
      <c r="I104" s="36" t="s">
        <v>65</v>
      </c>
      <c r="J104" s="35">
        <f>G104*AO104</f>
        <v>0</v>
      </c>
      <c r="K104" s="35">
        <f>G104*AP104</f>
        <v>0</v>
      </c>
      <c r="L104" s="35">
        <f>G104*H104</f>
        <v>0</v>
      </c>
      <c r="M104" s="35">
        <f>L104*(1+BW104/100)</f>
        <v>0</v>
      </c>
      <c r="N104" s="35">
        <v>7.3899999999999993E-2</v>
      </c>
      <c r="O104" s="35">
        <f>G104*N104</f>
        <v>0.44339999999999996</v>
      </c>
      <c r="P104" s="37" t="s">
        <v>66</v>
      </c>
      <c r="Z104" s="35">
        <f>IF(AQ104="5",BJ104,0)</f>
        <v>0</v>
      </c>
      <c r="AB104" s="35">
        <f>IF(AQ104="1",BH104,0)</f>
        <v>0</v>
      </c>
      <c r="AC104" s="35">
        <f>IF(AQ104="1",BI104,0)</f>
        <v>0</v>
      </c>
      <c r="AD104" s="35">
        <f>IF(AQ104="7",BH104,0)</f>
        <v>0</v>
      </c>
      <c r="AE104" s="35">
        <f>IF(AQ104="7",BI104,0)</f>
        <v>0</v>
      </c>
      <c r="AF104" s="35">
        <f>IF(AQ104="2",BH104,0)</f>
        <v>0</v>
      </c>
      <c r="AG104" s="35">
        <f>IF(AQ104="2",BI104,0)</f>
        <v>0</v>
      </c>
      <c r="AH104" s="35">
        <f>IF(AQ104="0",BJ104,0)</f>
        <v>0</v>
      </c>
      <c r="AI104" s="12" t="s">
        <v>57</v>
      </c>
      <c r="AJ104" s="35">
        <f>IF(AN104=0,L104,0)</f>
        <v>0</v>
      </c>
      <c r="AK104" s="35">
        <f>IF(AN104=12,L104,0)</f>
        <v>0</v>
      </c>
      <c r="AL104" s="35">
        <f>IF(AN104=21,L104,0)</f>
        <v>0</v>
      </c>
      <c r="AN104" s="35">
        <v>21</v>
      </c>
      <c r="AO104" s="35">
        <f>H104*0.156578947</f>
        <v>0</v>
      </c>
      <c r="AP104" s="35">
        <f>H104*(1-0.156578947)</f>
        <v>0</v>
      </c>
      <c r="AQ104" s="36" t="s">
        <v>61</v>
      </c>
      <c r="AV104" s="35">
        <f>AW104+AX104</f>
        <v>0</v>
      </c>
      <c r="AW104" s="35">
        <f>G104*AO104</f>
        <v>0</v>
      </c>
      <c r="AX104" s="35">
        <f>G104*AP104</f>
        <v>0</v>
      </c>
      <c r="AY104" s="36" t="s">
        <v>224</v>
      </c>
      <c r="AZ104" s="36" t="s">
        <v>178</v>
      </c>
      <c r="BA104" s="12" t="s">
        <v>69</v>
      </c>
      <c r="BC104" s="35">
        <f>AW104+AX104</f>
        <v>0</v>
      </c>
      <c r="BD104" s="35">
        <f>H104/(100-BE104)*100</f>
        <v>0</v>
      </c>
      <c r="BE104" s="35">
        <v>0</v>
      </c>
      <c r="BF104" s="35">
        <f>O104</f>
        <v>0.44339999999999996</v>
      </c>
      <c r="BH104" s="35">
        <f>G104*AO104</f>
        <v>0</v>
      </c>
      <c r="BI104" s="35">
        <f>G104*AP104</f>
        <v>0</v>
      </c>
      <c r="BJ104" s="35">
        <f>G104*H104</f>
        <v>0</v>
      </c>
      <c r="BK104" s="35"/>
      <c r="BL104" s="35">
        <v>59</v>
      </c>
      <c r="BW104" s="35" t="str">
        <f>I104</f>
        <v>21</v>
      </c>
      <c r="BX104" s="4" t="s">
        <v>236</v>
      </c>
    </row>
    <row r="105" spans="1:76" ht="14.6" x14ac:dyDescent="0.4">
      <c r="A105" s="38"/>
      <c r="D105" s="39" t="s">
        <v>237</v>
      </c>
      <c r="E105" s="40" t="s">
        <v>56</v>
      </c>
      <c r="G105" s="41">
        <v>6</v>
      </c>
      <c r="P105" s="42"/>
    </row>
    <row r="106" spans="1:76" ht="14.6" x14ac:dyDescent="0.4">
      <c r="A106" s="2" t="s">
        <v>238</v>
      </c>
      <c r="B106" s="3" t="s">
        <v>57</v>
      </c>
      <c r="C106" s="3" t="s">
        <v>239</v>
      </c>
      <c r="D106" s="84" t="s">
        <v>240</v>
      </c>
      <c r="E106" s="85"/>
      <c r="F106" s="3" t="s">
        <v>64</v>
      </c>
      <c r="G106" s="35">
        <v>4</v>
      </c>
      <c r="H106" s="82"/>
      <c r="I106" s="36" t="s">
        <v>65</v>
      </c>
      <c r="J106" s="35">
        <f>G106*AO106</f>
        <v>0</v>
      </c>
      <c r="K106" s="35">
        <f>G106*AP106</f>
        <v>0</v>
      </c>
      <c r="L106" s="35">
        <f>G106*H106</f>
        <v>0</v>
      </c>
      <c r="M106" s="35">
        <f>L106*(1+BW106/100)</f>
        <v>0</v>
      </c>
      <c r="N106" s="35">
        <v>7.1999999999999995E-2</v>
      </c>
      <c r="O106" s="35">
        <f>G106*N106</f>
        <v>0.28799999999999998</v>
      </c>
      <c r="P106" s="37" t="s">
        <v>66</v>
      </c>
      <c r="Z106" s="35">
        <f>IF(AQ106="5",BJ106,0)</f>
        <v>0</v>
      </c>
      <c r="AB106" s="35">
        <f>IF(AQ106="1",BH106,0)</f>
        <v>0</v>
      </c>
      <c r="AC106" s="35">
        <f>IF(AQ106="1",BI106,0)</f>
        <v>0</v>
      </c>
      <c r="AD106" s="35">
        <f>IF(AQ106="7",BH106,0)</f>
        <v>0</v>
      </c>
      <c r="AE106" s="35">
        <f>IF(AQ106="7",BI106,0)</f>
        <v>0</v>
      </c>
      <c r="AF106" s="35">
        <f>IF(AQ106="2",BH106,0)</f>
        <v>0</v>
      </c>
      <c r="AG106" s="35">
        <f>IF(AQ106="2",BI106,0)</f>
        <v>0</v>
      </c>
      <c r="AH106" s="35">
        <f>IF(AQ106="0",BJ106,0)</f>
        <v>0</v>
      </c>
      <c r="AI106" s="12" t="s">
        <v>57</v>
      </c>
      <c r="AJ106" s="35">
        <f>IF(AN106=0,L106,0)</f>
        <v>0</v>
      </c>
      <c r="AK106" s="35">
        <f>IF(AN106=12,L106,0)</f>
        <v>0</v>
      </c>
      <c r="AL106" s="35">
        <f>IF(AN106=21,L106,0)</f>
        <v>0</v>
      </c>
      <c r="AN106" s="35">
        <v>21</v>
      </c>
      <c r="AO106" s="35">
        <f>H106*0.111901566</f>
        <v>0</v>
      </c>
      <c r="AP106" s="35">
        <f>H106*(1-0.111901566)</f>
        <v>0</v>
      </c>
      <c r="AQ106" s="36" t="s">
        <v>61</v>
      </c>
      <c r="AV106" s="35">
        <f>AW106+AX106</f>
        <v>0</v>
      </c>
      <c r="AW106" s="35">
        <f>G106*AO106</f>
        <v>0</v>
      </c>
      <c r="AX106" s="35">
        <f>G106*AP106</f>
        <v>0</v>
      </c>
      <c r="AY106" s="36" t="s">
        <v>224</v>
      </c>
      <c r="AZ106" s="36" t="s">
        <v>178</v>
      </c>
      <c r="BA106" s="12" t="s">
        <v>69</v>
      </c>
      <c r="BC106" s="35">
        <f>AW106+AX106</f>
        <v>0</v>
      </c>
      <c r="BD106" s="35">
        <f>H106/(100-BE106)*100</f>
        <v>0</v>
      </c>
      <c r="BE106" s="35">
        <v>0</v>
      </c>
      <c r="BF106" s="35">
        <f>O106</f>
        <v>0.28799999999999998</v>
      </c>
      <c r="BH106" s="35">
        <f>G106*AO106</f>
        <v>0</v>
      </c>
      <c r="BI106" s="35">
        <f>G106*AP106</f>
        <v>0</v>
      </c>
      <c r="BJ106" s="35">
        <f>G106*H106</f>
        <v>0</v>
      </c>
      <c r="BK106" s="35"/>
      <c r="BL106" s="35">
        <v>59</v>
      </c>
      <c r="BW106" s="35" t="str">
        <f>I106</f>
        <v>21</v>
      </c>
      <c r="BX106" s="4" t="s">
        <v>240</v>
      </c>
    </row>
    <row r="107" spans="1:76" ht="14.6" x14ac:dyDescent="0.4">
      <c r="A107" s="31" t="s">
        <v>56</v>
      </c>
      <c r="B107" s="32" t="s">
        <v>57</v>
      </c>
      <c r="C107" s="32" t="s">
        <v>241</v>
      </c>
      <c r="D107" s="89" t="s">
        <v>242</v>
      </c>
      <c r="E107" s="90"/>
      <c r="F107" s="33" t="s">
        <v>4</v>
      </c>
      <c r="G107" s="33" t="s">
        <v>4</v>
      </c>
      <c r="H107" s="33" t="s">
        <v>4</v>
      </c>
      <c r="I107" s="33" t="s">
        <v>4</v>
      </c>
      <c r="J107" s="1">
        <f>SUM(J108:J112)</f>
        <v>0</v>
      </c>
      <c r="K107" s="1">
        <f>SUM(K108:K112)</f>
        <v>0</v>
      </c>
      <c r="L107" s="1">
        <f>SUM(L108:L112)</f>
        <v>0</v>
      </c>
      <c r="M107" s="1">
        <f>SUM(M108:M112)</f>
        <v>0</v>
      </c>
      <c r="N107" s="12" t="s">
        <v>56</v>
      </c>
      <c r="O107" s="1">
        <f>SUM(O108:O112)</f>
        <v>12.428089999999999</v>
      </c>
      <c r="P107" s="34" t="s">
        <v>56</v>
      </c>
      <c r="AI107" s="12" t="s">
        <v>57</v>
      </c>
      <c r="AS107" s="1">
        <f>SUM(AJ108:AJ112)</f>
        <v>0</v>
      </c>
      <c r="AT107" s="1">
        <f>SUM(AK108:AK112)</f>
        <v>0</v>
      </c>
      <c r="AU107" s="1">
        <f>SUM(AL108:AL112)</f>
        <v>0</v>
      </c>
    </row>
    <row r="108" spans="1:76" ht="14.6" x14ac:dyDescent="0.4">
      <c r="A108" s="2" t="s">
        <v>243</v>
      </c>
      <c r="B108" s="3" t="s">
        <v>57</v>
      </c>
      <c r="C108" s="3" t="s">
        <v>244</v>
      </c>
      <c r="D108" s="84" t="s">
        <v>245</v>
      </c>
      <c r="E108" s="85"/>
      <c r="F108" s="3" t="s">
        <v>98</v>
      </c>
      <c r="G108" s="35">
        <v>4</v>
      </c>
      <c r="H108" s="82"/>
      <c r="I108" s="36" t="s">
        <v>65</v>
      </c>
      <c r="J108" s="35">
        <f>G108*AO108</f>
        <v>0</v>
      </c>
      <c r="K108" s="35">
        <f>G108*AP108</f>
        <v>0</v>
      </c>
      <c r="L108" s="35">
        <f>G108*H108</f>
        <v>0</v>
      </c>
      <c r="M108" s="35">
        <f>L108*(1+BW108/100)</f>
        <v>0</v>
      </c>
      <c r="N108" s="35">
        <v>0.90895999999999999</v>
      </c>
      <c r="O108" s="35">
        <f>G108*N108</f>
        <v>3.63584</v>
      </c>
      <c r="P108" s="37" t="s">
        <v>66</v>
      </c>
      <c r="Z108" s="35">
        <f>IF(AQ108="5",BJ108,0)</f>
        <v>0</v>
      </c>
      <c r="AB108" s="35">
        <f>IF(AQ108="1",BH108,0)</f>
        <v>0</v>
      </c>
      <c r="AC108" s="35">
        <f>IF(AQ108="1",BI108,0)</f>
        <v>0</v>
      </c>
      <c r="AD108" s="35">
        <f>IF(AQ108="7",BH108,0)</f>
        <v>0</v>
      </c>
      <c r="AE108" s="35">
        <f>IF(AQ108="7",BI108,0)</f>
        <v>0</v>
      </c>
      <c r="AF108" s="35">
        <f>IF(AQ108="2",BH108,0)</f>
        <v>0</v>
      </c>
      <c r="AG108" s="35">
        <f>IF(AQ108="2",BI108,0)</f>
        <v>0</v>
      </c>
      <c r="AH108" s="35">
        <f>IF(AQ108="0",BJ108,0)</f>
        <v>0</v>
      </c>
      <c r="AI108" s="12" t="s">
        <v>57</v>
      </c>
      <c r="AJ108" s="35">
        <f>IF(AN108=0,L108,0)</f>
        <v>0</v>
      </c>
      <c r="AK108" s="35">
        <f>IF(AN108=12,L108,0)</f>
        <v>0</v>
      </c>
      <c r="AL108" s="35">
        <f>IF(AN108=21,L108,0)</f>
        <v>0</v>
      </c>
      <c r="AN108" s="35">
        <v>21</v>
      </c>
      <c r="AO108" s="35">
        <f>H108*0.261298106</f>
        <v>0</v>
      </c>
      <c r="AP108" s="35">
        <f>H108*(1-0.261298106)</f>
        <v>0</v>
      </c>
      <c r="AQ108" s="36" t="s">
        <v>61</v>
      </c>
      <c r="AV108" s="35">
        <f>AW108+AX108</f>
        <v>0</v>
      </c>
      <c r="AW108" s="35">
        <f>G108*AO108</f>
        <v>0</v>
      </c>
      <c r="AX108" s="35">
        <f>G108*AP108</f>
        <v>0</v>
      </c>
      <c r="AY108" s="36" t="s">
        <v>246</v>
      </c>
      <c r="AZ108" s="36" t="s">
        <v>247</v>
      </c>
      <c r="BA108" s="12" t="s">
        <v>69</v>
      </c>
      <c r="BC108" s="35">
        <f>AW108+AX108</f>
        <v>0</v>
      </c>
      <c r="BD108" s="35">
        <f>H108/(100-BE108)*100</f>
        <v>0</v>
      </c>
      <c r="BE108" s="35">
        <v>0</v>
      </c>
      <c r="BF108" s="35">
        <f>O108</f>
        <v>3.63584</v>
      </c>
      <c r="BH108" s="35">
        <f>G108*AO108</f>
        <v>0</v>
      </c>
      <c r="BI108" s="35">
        <f>G108*AP108</f>
        <v>0</v>
      </c>
      <c r="BJ108" s="35">
        <f>G108*H108</f>
        <v>0</v>
      </c>
      <c r="BK108" s="35"/>
      <c r="BL108" s="35">
        <v>83</v>
      </c>
      <c r="BW108" s="35" t="str">
        <f>I108</f>
        <v>21</v>
      </c>
      <c r="BX108" s="4" t="s">
        <v>245</v>
      </c>
    </row>
    <row r="109" spans="1:76" ht="13.5" customHeight="1" x14ac:dyDescent="0.4">
      <c r="A109" s="38"/>
      <c r="C109" s="43" t="s">
        <v>82</v>
      </c>
      <c r="D109" s="94" t="s">
        <v>248</v>
      </c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6"/>
    </row>
    <row r="110" spans="1:76" ht="14.6" x14ac:dyDescent="0.4">
      <c r="A110" s="38"/>
      <c r="D110" s="39" t="s">
        <v>249</v>
      </c>
      <c r="E110" s="40" t="s">
        <v>56</v>
      </c>
      <c r="G110" s="41">
        <v>4</v>
      </c>
      <c r="P110" s="42"/>
    </row>
    <row r="111" spans="1:76" ht="13.5" customHeight="1" x14ac:dyDescent="0.4">
      <c r="A111" s="38"/>
      <c r="C111" s="44" t="s">
        <v>85</v>
      </c>
      <c r="D111" s="86" t="s">
        <v>250</v>
      </c>
      <c r="E111" s="87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8"/>
    </row>
    <row r="112" spans="1:76" ht="24.9" x14ac:dyDescent="0.4">
      <c r="A112" s="2" t="s">
        <v>251</v>
      </c>
      <c r="B112" s="3" t="s">
        <v>57</v>
      </c>
      <c r="C112" s="3" t="s">
        <v>252</v>
      </c>
      <c r="D112" s="84" t="s">
        <v>253</v>
      </c>
      <c r="E112" s="85"/>
      <c r="F112" s="3" t="s">
        <v>98</v>
      </c>
      <c r="G112" s="35">
        <v>15</v>
      </c>
      <c r="H112" s="82"/>
      <c r="I112" s="36" t="s">
        <v>65</v>
      </c>
      <c r="J112" s="35">
        <f>G112*AO112</f>
        <v>0</v>
      </c>
      <c r="K112" s="35">
        <f>G112*AP112</f>
        <v>0</v>
      </c>
      <c r="L112" s="35">
        <f>G112*H112</f>
        <v>0</v>
      </c>
      <c r="M112" s="35">
        <f>L112*(1+BW112/100)</f>
        <v>0</v>
      </c>
      <c r="N112" s="35">
        <v>0.58614999999999995</v>
      </c>
      <c r="O112" s="35">
        <f>G112*N112</f>
        <v>8.7922499999999992</v>
      </c>
      <c r="P112" s="37" t="s">
        <v>66</v>
      </c>
      <c r="Z112" s="35">
        <f>IF(AQ112="5",BJ112,0)</f>
        <v>0</v>
      </c>
      <c r="AB112" s="35">
        <f>IF(AQ112="1",BH112,0)</f>
        <v>0</v>
      </c>
      <c r="AC112" s="35">
        <f>IF(AQ112="1",BI112,0)</f>
        <v>0</v>
      </c>
      <c r="AD112" s="35">
        <f>IF(AQ112="7",BH112,0)</f>
        <v>0</v>
      </c>
      <c r="AE112" s="35">
        <f>IF(AQ112="7",BI112,0)</f>
        <v>0</v>
      </c>
      <c r="AF112" s="35">
        <f>IF(AQ112="2",BH112,0)</f>
        <v>0</v>
      </c>
      <c r="AG112" s="35">
        <f>IF(AQ112="2",BI112,0)</f>
        <v>0</v>
      </c>
      <c r="AH112" s="35">
        <f>IF(AQ112="0",BJ112,0)</f>
        <v>0</v>
      </c>
      <c r="AI112" s="12" t="s">
        <v>57</v>
      </c>
      <c r="AJ112" s="35">
        <f>IF(AN112=0,L112,0)</f>
        <v>0</v>
      </c>
      <c r="AK112" s="35">
        <f>IF(AN112=12,L112,0)</f>
        <v>0</v>
      </c>
      <c r="AL112" s="35">
        <f>IF(AN112=21,L112,0)</f>
        <v>0</v>
      </c>
      <c r="AN112" s="35">
        <v>21</v>
      </c>
      <c r="AO112" s="35">
        <f>H112*0.236856468</f>
        <v>0</v>
      </c>
      <c r="AP112" s="35">
        <f>H112*(1-0.236856468)</f>
        <v>0</v>
      </c>
      <c r="AQ112" s="36" t="s">
        <v>61</v>
      </c>
      <c r="AV112" s="35">
        <f>AW112+AX112</f>
        <v>0</v>
      </c>
      <c r="AW112" s="35">
        <f>G112*AO112</f>
        <v>0</v>
      </c>
      <c r="AX112" s="35">
        <f>G112*AP112</f>
        <v>0</v>
      </c>
      <c r="AY112" s="36" t="s">
        <v>246</v>
      </c>
      <c r="AZ112" s="36" t="s">
        <v>247</v>
      </c>
      <c r="BA112" s="12" t="s">
        <v>69</v>
      </c>
      <c r="BC112" s="35">
        <f>AW112+AX112</f>
        <v>0</v>
      </c>
      <c r="BD112" s="35">
        <f>H112/(100-BE112)*100</f>
        <v>0</v>
      </c>
      <c r="BE112" s="35">
        <v>0</v>
      </c>
      <c r="BF112" s="35">
        <f>O112</f>
        <v>8.7922499999999992</v>
      </c>
      <c r="BH112" s="35">
        <f>G112*AO112</f>
        <v>0</v>
      </c>
      <c r="BI112" s="35">
        <f>G112*AP112</f>
        <v>0</v>
      </c>
      <c r="BJ112" s="35">
        <f>G112*H112</f>
        <v>0</v>
      </c>
      <c r="BK112" s="35"/>
      <c r="BL112" s="35">
        <v>83</v>
      </c>
      <c r="BW112" s="35" t="str">
        <f>I112</f>
        <v>21</v>
      </c>
      <c r="BX112" s="4" t="s">
        <v>253</v>
      </c>
    </row>
    <row r="113" spans="1:76" ht="13.5" customHeight="1" x14ac:dyDescent="0.4">
      <c r="A113" s="38"/>
      <c r="C113" s="43" t="s">
        <v>82</v>
      </c>
      <c r="D113" s="94" t="s">
        <v>254</v>
      </c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6"/>
    </row>
    <row r="114" spans="1:76" ht="40.5" customHeight="1" x14ac:dyDescent="0.4">
      <c r="A114" s="38"/>
      <c r="C114" s="44" t="s">
        <v>85</v>
      </c>
      <c r="D114" s="86" t="s">
        <v>255</v>
      </c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8"/>
    </row>
    <row r="115" spans="1:76" ht="14.6" x14ac:dyDescent="0.4">
      <c r="A115" s="31" t="s">
        <v>56</v>
      </c>
      <c r="B115" s="32" t="s">
        <v>57</v>
      </c>
      <c r="C115" s="32" t="s">
        <v>256</v>
      </c>
      <c r="D115" s="89" t="s">
        <v>257</v>
      </c>
      <c r="E115" s="90"/>
      <c r="F115" s="33" t="s">
        <v>4</v>
      </c>
      <c r="G115" s="33" t="s">
        <v>4</v>
      </c>
      <c r="H115" s="33" t="s">
        <v>4</v>
      </c>
      <c r="I115" s="33" t="s">
        <v>4</v>
      </c>
      <c r="J115" s="1">
        <f>SUM(J116:J121)</f>
        <v>0</v>
      </c>
      <c r="K115" s="1">
        <f>SUM(K116:K121)</f>
        <v>0</v>
      </c>
      <c r="L115" s="1">
        <f>SUM(L116:L121)</f>
        <v>0</v>
      </c>
      <c r="M115" s="1">
        <f>SUM(M116:M121)</f>
        <v>0</v>
      </c>
      <c r="N115" s="12" t="s">
        <v>56</v>
      </c>
      <c r="O115" s="1">
        <f>SUM(O116:O121)</f>
        <v>7.8036399999999997</v>
      </c>
      <c r="P115" s="34" t="s">
        <v>56</v>
      </c>
      <c r="AI115" s="12" t="s">
        <v>57</v>
      </c>
      <c r="AS115" s="1">
        <f>SUM(AJ116:AJ121)</f>
        <v>0</v>
      </c>
      <c r="AT115" s="1">
        <f>SUM(AK116:AK121)</f>
        <v>0</v>
      </c>
      <c r="AU115" s="1">
        <f>SUM(AL116:AL121)</f>
        <v>0</v>
      </c>
    </row>
    <row r="116" spans="1:76" ht="14.6" x14ac:dyDescent="0.4">
      <c r="A116" s="2" t="s">
        <v>258</v>
      </c>
      <c r="B116" s="3" t="s">
        <v>57</v>
      </c>
      <c r="C116" s="3" t="s">
        <v>259</v>
      </c>
      <c r="D116" s="84" t="s">
        <v>260</v>
      </c>
      <c r="E116" s="85"/>
      <c r="F116" s="3" t="s">
        <v>133</v>
      </c>
      <c r="G116" s="35">
        <v>2</v>
      </c>
      <c r="H116" s="82"/>
      <c r="I116" s="36" t="s">
        <v>65</v>
      </c>
      <c r="J116" s="35">
        <f>G116*AO116</f>
        <v>0</v>
      </c>
      <c r="K116" s="35">
        <f>G116*AP116</f>
        <v>0</v>
      </c>
      <c r="L116" s="35">
        <f>G116*H116</f>
        <v>0</v>
      </c>
      <c r="M116" s="35">
        <f>L116*(1+BW116/100)</f>
        <v>0</v>
      </c>
      <c r="N116" s="35">
        <v>3.0291399999999999</v>
      </c>
      <c r="O116" s="35">
        <f>G116*N116</f>
        <v>6.0582799999999999</v>
      </c>
      <c r="P116" s="37" t="s">
        <v>66</v>
      </c>
      <c r="Z116" s="35">
        <f>IF(AQ116="5",BJ116,0)</f>
        <v>0</v>
      </c>
      <c r="AB116" s="35">
        <f>IF(AQ116="1",BH116,0)</f>
        <v>0</v>
      </c>
      <c r="AC116" s="35">
        <f>IF(AQ116="1",BI116,0)</f>
        <v>0</v>
      </c>
      <c r="AD116" s="35">
        <f>IF(AQ116="7",BH116,0)</f>
        <v>0</v>
      </c>
      <c r="AE116" s="35">
        <f>IF(AQ116="7",BI116,0)</f>
        <v>0</v>
      </c>
      <c r="AF116" s="35">
        <f>IF(AQ116="2",BH116,0)</f>
        <v>0</v>
      </c>
      <c r="AG116" s="35">
        <f>IF(AQ116="2",BI116,0)</f>
        <v>0</v>
      </c>
      <c r="AH116" s="35">
        <f>IF(AQ116="0",BJ116,0)</f>
        <v>0</v>
      </c>
      <c r="AI116" s="12" t="s">
        <v>57</v>
      </c>
      <c r="AJ116" s="35">
        <f>IF(AN116=0,L116,0)</f>
        <v>0</v>
      </c>
      <c r="AK116" s="35">
        <f>IF(AN116=12,L116,0)</f>
        <v>0</v>
      </c>
      <c r="AL116" s="35">
        <f>IF(AN116=21,L116,0)</f>
        <v>0</v>
      </c>
      <c r="AN116" s="35">
        <v>21</v>
      </c>
      <c r="AO116" s="35">
        <f>H116*0.76210254</f>
        <v>0</v>
      </c>
      <c r="AP116" s="35">
        <f>H116*(1-0.76210254)</f>
        <v>0</v>
      </c>
      <c r="AQ116" s="36" t="s">
        <v>61</v>
      </c>
      <c r="AV116" s="35">
        <f>AW116+AX116</f>
        <v>0</v>
      </c>
      <c r="AW116" s="35">
        <f>G116*AO116</f>
        <v>0</v>
      </c>
      <c r="AX116" s="35">
        <f>G116*AP116</f>
        <v>0</v>
      </c>
      <c r="AY116" s="36" t="s">
        <v>261</v>
      </c>
      <c r="AZ116" s="36" t="s">
        <v>247</v>
      </c>
      <c r="BA116" s="12" t="s">
        <v>69</v>
      </c>
      <c r="BC116" s="35">
        <f>AW116+AX116</f>
        <v>0</v>
      </c>
      <c r="BD116" s="35">
        <f>H116/(100-BE116)*100</f>
        <v>0</v>
      </c>
      <c r="BE116" s="35">
        <v>0</v>
      </c>
      <c r="BF116" s="35">
        <f>O116</f>
        <v>6.0582799999999999</v>
      </c>
      <c r="BH116" s="35">
        <f>G116*AO116</f>
        <v>0</v>
      </c>
      <c r="BI116" s="35">
        <f>G116*AP116</f>
        <v>0</v>
      </c>
      <c r="BJ116" s="35">
        <f>G116*H116</f>
        <v>0</v>
      </c>
      <c r="BK116" s="35"/>
      <c r="BL116" s="35">
        <v>89</v>
      </c>
      <c r="BW116" s="35" t="str">
        <f>I116</f>
        <v>21</v>
      </c>
      <c r="BX116" s="4" t="s">
        <v>260</v>
      </c>
    </row>
    <row r="117" spans="1:76" ht="13.5" customHeight="1" x14ac:dyDescent="0.4">
      <c r="A117" s="38"/>
      <c r="C117" s="43" t="s">
        <v>82</v>
      </c>
      <c r="D117" s="94" t="s">
        <v>262</v>
      </c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6"/>
    </row>
    <row r="118" spans="1:76" ht="14.6" x14ac:dyDescent="0.4">
      <c r="A118" s="2" t="s">
        <v>263</v>
      </c>
      <c r="B118" s="3" t="s">
        <v>57</v>
      </c>
      <c r="C118" s="3" t="s">
        <v>264</v>
      </c>
      <c r="D118" s="84" t="s">
        <v>265</v>
      </c>
      <c r="E118" s="85"/>
      <c r="F118" s="3" t="s">
        <v>133</v>
      </c>
      <c r="G118" s="35">
        <v>2</v>
      </c>
      <c r="H118" s="82"/>
      <c r="I118" s="36" t="s">
        <v>65</v>
      </c>
      <c r="J118" s="35">
        <f>G118*AO118</f>
        <v>0</v>
      </c>
      <c r="K118" s="35">
        <f>G118*AP118</f>
        <v>0</v>
      </c>
      <c r="L118" s="35">
        <f>G118*H118</f>
        <v>0</v>
      </c>
      <c r="M118" s="35">
        <f>L118*(1+BW118/100)</f>
        <v>0</v>
      </c>
      <c r="N118" s="35">
        <v>9.3600000000000003E-3</v>
      </c>
      <c r="O118" s="35">
        <f>G118*N118</f>
        <v>1.8720000000000001E-2</v>
      </c>
      <c r="P118" s="37" t="s">
        <v>66</v>
      </c>
      <c r="Z118" s="35">
        <f>IF(AQ118="5",BJ118,0)</f>
        <v>0</v>
      </c>
      <c r="AB118" s="35">
        <f>IF(AQ118="1",BH118,0)</f>
        <v>0</v>
      </c>
      <c r="AC118" s="35">
        <f>IF(AQ118="1",BI118,0)</f>
        <v>0</v>
      </c>
      <c r="AD118" s="35">
        <f>IF(AQ118="7",BH118,0)</f>
        <v>0</v>
      </c>
      <c r="AE118" s="35">
        <f>IF(AQ118="7",BI118,0)</f>
        <v>0</v>
      </c>
      <c r="AF118" s="35">
        <f>IF(AQ118="2",BH118,0)</f>
        <v>0</v>
      </c>
      <c r="AG118" s="35">
        <f>IF(AQ118="2",BI118,0)</f>
        <v>0</v>
      </c>
      <c r="AH118" s="35">
        <f>IF(AQ118="0",BJ118,0)</f>
        <v>0</v>
      </c>
      <c r="AI118" s="12" t="s">
        <v>57</v>
      </c>
      <c r="AJ118" s="35">
        <f>IF(AN118=0,L118,0)</f>
        <v>0</v>
      </c>
      <c r="AK118" s="35">
        <f>IF(AN118=12,L118,0)</f>
        <v>0</v>
      </c>
      <c r="AL118" s="35">
        <f>IF(AN118=21,L118,0)</f>
        <v>0</v>
      </c>
      <c r="AN118" s="35">
        <v>21</v>
      </c>
      <c r="AO118" s="35">
        <f>H118*0.009686706</f>
        <v>0</v>
      </c>
      <c r="AP118" s="35">
        <f>H118*(1-0.009686706)</f>
        <v>0</v>
      </c>
      <c r="AQ118" s="36" t="s">
        <v>61</v>
      </c>
      <c r="AV118" s="35">
        <f>AW118+AX118</f>
        <v>0</v>
      </c>
      <c r="AW118" s="35">
        <f>G118*AO118</f>
        <v>0</v>
      </c>
      <c r="AX118" s="35">
        <f>G118*AP118</f>
        <v>0</v>
      </c>
      <c r="AY118" s="36" t="s">
        <v>261</v>
      </c>
      <c r="AZ118" s="36" t="s">
        <v>247</v>
      </c>
      <c r="BA118" s="12" t="s">
        <v>69</v>
      </c>
      <c r="BC118" s="35">
        <f>AW118+AX118</f>
        <v>0</v>
      </c>
      <c r="BD118" s="35">
        <f>H118/(100-BE118)*100</f>
        <v>0</v>
      </c>
      <c r="BE118" s="35">
        <v>0</v>
      </c>
      <c r="BF118" s="35">
        <f>O118</f>
        <v>1.8720000000000001E-2</v>
      </c>
      <c r="BH118" s="35">
        <f>G118*AO118</f>
        <v>0</v>
      </c>
      <c r="BI118" s="35">
        <f>G118*AP118</f>
        <v>0</v>
      </c>
      <c r="BJ118" s="35">
        <f>G118*H118</f>
        <v>0</v>
      </c>
      <c r="BK118" s="35"/>
      <c r="BL118" s="35">
        <v>89</v>
      </c>
      <c r="BW118" s="35" t="str">
        <f>I118</f>
        <v>21</v>
      </c>
      <c r="BX118" s="4" t="s">
        <v>265</v>
      </c>
    </row>
    <row r="119" spans="1:76" ht="13.5" customHeight="1" x14ac:dyDescent="0.4">
      <c r="A119" s="38"/>
      <c r="C119" s="43" t="s">
        <v>82</v>
      </c>
      <c r="D119" s="94" t="s">
        <v>266</v>
      </c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6"/>
    </row>
    <row r="120" spans="1:76" ht="14.6" x14ac:dyDescent="0.4">
      <c r="A120" s="2" t="s">
        <v>267</v>
      </c>
      <c r="B120" s="3" t="s">
        <v>57</v>
      </c>
      <c r="C120" s="3" t="s">
        <v>268</v>
      </c>
      <c r="D120" s="84" t="s">
        <v>269</v>
      </c>
      <c r="E120" s="85"/>
      <c r="F120" s="3" t="s">
        <v>133</v>
      </c>
      <c r="G120" s="35">
        <v>1</v>
      </c>
      <c r="H120" s="82"/>
      <c r="I120" s="36" t="s">
        <v>65</v>
      </c>
      <c r="J120" s="35">
        <f>G120*AO120</f>
        <v>0</v>
      </c>
      <c r="K120" s="35">
        <f>G120*AP120</f>
        <v>0</v>
      </c>
      <c r="L120" s="35">
        <f>G120*H120</f>
        <v>0</v>
      </c>
      <c r="M120" s="35">
        <f>L120*(1+BW120/100)</f>
        <v>0</v>
      </c>
      <c r="N120" s="35">
        <v>0.43381999999999998</v>
      </c>
      <c r="O120" s="35">
        <f>G120*N120</f>
        <v>0.43381999999999998</v>
      </c>
      <c r="P120" s="37" t="s">
        <v>66</v>
      </c>
      <c r="Z120" s="35">
        <f>IF(AQ120="5",BJ120,0)</f>
        <v>0</v>
      </c>
      <c r="AB120" s="35">
        <f>IF(AQ120="1",BH120,0)</f>
        <v>0</v>
      </c>
      <c r="AC120" s="35">
        <f>IF(AQ120="1",BI120,0)</f>
        <v>0</v>
      </c>
      <c r="AD120" s="35">
        <f>IF(AQ120="7",BH120,0)</f>
        <v>0</v>
      </c>
      <c r="AE120" s="35">
        <f>IF(AQ120="7",BI120,0)</f>
        <v>0</v>
      </c>
      <c r="AF120" s="35">
        <f>IF(AQ120="2",BH120,0)</f>
        <v>0</v>
      </c>
      <c r="AG120" s="35">
        <f>IF(AQ120="2",BI120,0)</f>
        <v>0</v>
      </c>
      <c r="AH120" s="35">
        <f>IF(AQ120="0",BJ120,0)</f>
        <v>0</v>
      </c>
      <c r="AI120" s="12" t="s">
        <v>57</v>
      </c>
      <c r="AJ120" s="35">
        <f>IF(AN120=0,L120,0)</f>
        <v>0</v>
      </c>
      <c r="AK120" s="35">
        <f>IF(AN120=12,L120,0)</f>
        <v>0</v>
      </c>
      <c r="AL120" s="35">
        <f>IF(AN120=21,L120,0)</f>
        <v>0</v>
      </c>
      <c r="AN120" s="35">
        <v>21</v>
      </c>
      <c r="AO120" s="35">
        <f>H120*0.346198319</f>
        <v>0</v>
      </c>
      <c r="AP120" s="35">
        <f>H120*(1-0.346198319)</f>
        <v>0</v>
      </c>
      <c r="AQ120" s="36" t="s">
        <v>61</v>
      </c>
      <c r="AV120" s="35">
        <f>AW120+AX120</f>
        <v>0</v>
      </c>
      <c r="AW120" s="35">
        <f>G120*AO120</f>
        <v>0</v>
      </c>
      <c r="AX120" s="35">
        <f>G120*AP120</f>
        <v>0</v>
      </c>
      <c r="AY120" s="36" t="s">
        <v>261</v>
      </c>
      <c r="AZ120" s="36" t="s">
        <v>247</v>
      </c>
      <c r="BA120" s="12" t="s">
        <v>69</v>
      </c>
      <c r="BC120" s="35">
        <f>AW120+AX120</f>
        <v>0</v>
      </c>
      <c r="BD120" s="35">
        <f>H120/(100-BE120)*100</f>
        <v>0</v>
      </c>
      <c r="BE120" s="35">
        <v>0</v>
      </c>
      <c r="BF120" s="35">
        <f>O120</f>
        <v>0.43381999999999998</v>
      </c>
      <c r="BH120" s="35">
        <f>G120*AO120</f>
        <v>0</v>
      </c>
      <c r="BI120" s="35">
        <f>G120*AP120</f>
        <v>0</v>
      </c>
      <c r="BJ120" s="35">
        <f>G120*H120</f>
        <v>0</v>
      </c>
      <c r="BK120" s="35"/>
      <c r="BL120" s="35">
        <v>89</v>
      </c>
      <c r="BW120" s="35" t="str">
        <f>I120</f>
        <v>21</v>
      </c>
      <c r="BX120" s="4" t="s">
        <v>269</v>
      </c>
    </row>
    <row r="121" spans="1:76" ht="14.6" x14ac:dyDescent="0.4">
      <c r="A121" s="2" t="s">
        <v>270</v>
      </c>
      <c r="B121" s="3" t="s">
        <v>57</v>
      </c>
      <c r="C121" s="3" t="s">
        <v>271</v>
      </c>
      <c r="D121" s="84" t="s">
        <v>272</v>
      </c>
      <c r="E121" s="85"/>
      <c r="F121" s="3" t="s">
        <v>133</v>
      </c>
      <c r="G121" s="35">
        <v>3</v>
      </c>
      <c r="H121" s="82"/>
      <c r="I121" s="36" t="s">
        <v>65</v>
      </c>
      <c r="J121" s="35">
        <f>G121*AO121</f>
        <v>0</v>
      </c>
      <c r="K121" s="35">
        <f>G121*AP121</f>
        <v>0</v>
      </c>
      <c r="L121" s="35">
        <f>G121*H121</f>
        <v>0</v>
      </c>
      <c r="M121" s="35">
        <f>L121*(1+BW121/100)</f>
        <v>0</v>
      </c>
      <c r="N121" s="35">
        <v>0.43093999999999999</v>
      </c>
      <c r="O121" s="35">
        <f>G121*N121</f>
        <v>1.2928199999999999</v>
      </c>
      <c r="P121" s="37" t="s">
        <v>66</v>
      </c>
      <c r="Z121" s="35">
        <f>IF(AQ121="5",BJ121,0)</f>
        <v>0</v>
      </c>
      <c r="AB121" s="35">
        <f>IF(AQ121="1",BH121,0)</f>
        <v>0</v>
      </c>
      <c r="AC121" s="35">
        <f>IF(AQ121="1",BI121,0)</f>
        <v>0</v>
      </c>
      <c r="AD121" s="35">
        <f>IF(AQ121="7",BH121,0)</f>
        <v>0</v>
      </c>
      <c r="AE121" s="35">
        <f>IF(AQ121="7",BI121,0)</f>
        <v>0</v>
      </c>
      <c r="AF121" s="35">
        <f>IF(AQ121="2",BH121,0)</f>
        <v>0</v>
      </c>
      <c r="AG121" s="35">
        <f>IF(AQ121="2",BI121,0)</f>
        <v>0</v>
      </c>
      <c r="AH121" s="35">
        <f>IF(AQ121="0",BJ121,0)</f>
        <v>0</v>
      </c>
      <c r="AI121" s="12" t="s">
        <v>57</v>
      </c>
      <c r="AJ121" s="35">
        <f>IF(AN121=0,L121,0)</f>
        <v>0</v>
      </c>
      <c r="AK121" s="35">
        <f>IF(AN121=12,L121,0)</f>
        <v>0</v>
      </c>
      <c r="AL121" s="35">
        <f>IF(AN121=21,L121,0)</f>
        <v>0</v>
      </c>
      <c r="AN121" s="35">
        <v>21</v>
      </c>
      <c r="AO121" s="35">
        <f>H121*0.323783217</f>
        <v>0</v>
      </c>
      <c r="AP121" s="35">
        <f>H121*(1-0.323783217)</f>
        <v>0</v>
      </c>
      <c r="AQ121" s="36" t="s">
        <v>61</v>
      </c>
      <c r="AV121" s="35">
        <f>AW121+AX121</f>
        <v>0</v>
      </c>
      <c r="AW121" s="35">
        <f>G121*AO121</f>
        <v>0</v>
      </c>
      <c r="AX121" s="35">
        <f>G121*AP121</f>
        <v>0</v>
      </c>
      <c r="AY121" s="36" t="s">
        <v>261</v>
      </c>
      <c r="AZ121" s="36" t="s">
        <v>247</v>
      </c>
      <c r="BA121" s="12" t="s">
        <v>69</v>
      </c>
      <c r="BC121" s="35">
        <f>AW121+AX121</f>
        <v>0</v>
      </c>
      <c r="BD121" s="35">
        <f>H121/(100-BE121)*100</f>
        <v>0</v>
      </c>
      <c r="BE121" s="35">
        <v>0</v>
      </c>
      <c r="BF121" s="35">
        <f>O121</f>
        <v>1.2928199999999999</v>
      </c>
      <c r="BH121" s="35">
        <f>G121*AO121</f>
        <v>0</v>
      </c>
      <c r="BI121" s="35">
        <f>G121*AP121</f>
        <v>0</v>
      </c>
      <c r="BJ121" s="35">
        <f>G121*H121</f>
        <v>0</v>
      </c>
      <c r="BK121" s="35"/>
      <c r="BL121" s="35">
        <v>89</v>
      </c>
      <c r="BW121" s="35" t="str">
        <f>I121</f>
        <v>21</v>
      </c>
      <c r="BX121" s="4" t="s">
        <v>272</v>
      </c>
    </row>
    <row r="122" spans="1:76" ht="14.6" x14ac:dyDescent="0.4">
      <c r="A122" s="31" t="s">
        <v>56</v>
      </c>
      <c r="B122" s="32" t="s">
        <v>57</v>
      </c>
      <c r="C122" s="32" t="s">
        <v>273</v>
      </c>
      <c r="D122" s="89" t="s">
        <v>274</v>
      </c>
      <c r="E122" s="90"/>
      <c r="F122" s="33" t="s">
        <v>4</v>
      </c>
      <c r="G122" s="33" t="s">
        <v>4</v>
      </c>
      <c r="H122" s="33" t="s">
        <v>4</v>
      </c>
      <c r="I122" s="33" t="s">
        <v>4</v>
      </c>
      <c r="J122" s="1">
        <f>SUM(J123:J136)</f>
        <v>0</v>
      </c>
      <c r="K122" s="1">
        <f>SUM(K123:K136)</f>
        <v>0</v>
      </c>
      <c r="L122" s="1">
        <f>SUM(L123:L136)</f>
        <v>0</v>
      </c>
      <c r="M122" s="1">
        <f>SUM(M123:M136)</f>
        <v>0</v>
      </c>
      <c r="N122" s="12" t="s">
        <v>56</v>
      </c>
      <c r="O122" s="1">
        <f>SUM(O123:O136)</f>
        <v>44.272123999999998</v>
      </c>
      <c r="P122" s="34" t="s">
        <v>56</v>
      </c>
      <c r="AI122" s="12" t="s">
        <v>57</v>
      </c>
      <c r="AS122" s="1">
        <f>SUM(AJ123:AJ136)</f>
        <v>0</v>
      </c>
      <c r="AT122" s="1">
        <f>SUM(AK123:AK136)</f>
        <v>0</v>
      </c>
      <c r="AU122" s="1">
        <f>SUM(AL123:AL136)</f>
        <v>0</v>
      </c>
    </row>
    <row r="123" spans="1:76" ht="14.6" x14ac:dyDescent="0.4">
      <c r="A123" s="2" t="s">
        <v>275</v>
      </c>
      <c r="B123" s="3" t="s">
        <v>57</v>
      </c>
      <c r="C123" s="3" t="s">
        <v>276</v>
      </c>
      <c r="D123" s="84" t="s">
        <v>277</v>
      </c>
      <c r="E123" s="85"/>
      <c r="F123" s="3" t="s">
        <v>133</v>
      </c>
      <c r="G123" s="35">
        <v>1</v>
      </c>
      <c r="H123" s="82"/>
      <c r="I123" s="36" t="s">
        <v>65</v>
      </c>
      <c r="J123" s="35">
        <f>G123*AO123</f>
        <v>0</v>
      </c>
      <c r="K123" s="35">
        <f>G123*AP123</f>
        <v>0</v>
      </c>
      <c r="L123" s="35">
        <f>G123*H123</f>
        <v>0</v>
      </c>
      <c r="M123" s="35">
        <f>L123*(1+BW123/100)</f>
        <v>0</v>
      </c>
      <c r="N123" s="35">
        <v>0.25080000000000002</v>
      </c>
      <c r="O123" s="35">
        <f>G123*N123</f>
        <v>0.25080000000000002</v>
      </c>
      <c r="P123" s="37" t="s">
        <v>66</v>
      </c>
      <c r="Z123" s="35">
        <f>IF(AQ123="5",BJ123,0)</f>
        <v>0</v>
      </c>
      <c r="AB123" s="35">
        <f>IF(AQ123="1",BH123,0)</f>
        <v>0</v>
      </c>
      <c r="AC123" s="35">
        <f>IF(AQ123="1",BI123,0)</f>
        <v>0</v>
      </c>
      <c r="AD123" s="35">
        <f>IF(AQ123="7",BH123,0)</f>
        <v>0</v>
      </c>
      <c r="AE123" s="35">
        <f>IF(AQ123="7",BI123,0)</f>
        <v>0</v>
      </c>
      <c r="AF123" s="35">
        <f>IF(AQ123="2",BH123,0)</f>
        <v>0</v>
      </c>
      <c r="AG123" s="35">
        <f>IF(AQ123="2",BI123,0)</f>
        <v>0</v>
      </c>
      <c r="AH123" s="35">
        <f>IF(AQ123="0",BJ123,0)</f>
        <v>0</v>
      </c>
      <c r="AI123" s="12" t="s">
        <v>57</v>
      </c>
      <c r="AJ123" s="35">
        <f>IF(AN123=0,L123,0)</f>
        <v>0</v>
      </c>
      <c r="AK123" s="35">
        <f>IF(AN123=12,L123,0)</f>
        <v>0</v>
      </c>
      <c r="AL123" s="35">
        <f>IF(AN123=21,L123,0)</f>
        <v>0</v>
      </c>
      <c r="AN123" s="35">
        <v>21</v>
      </c>
      <c r="AO123" s="35">
        <f>H123*0.514310954</f>
        <v>0</v>
      </c>
      <c r="AP123" s="35">
        <f>H123*(1-0.514310954)</f>
        <v>0</v>
      </c>
      <c r="AQ123" s="36" t="s">
        <v>61</v>
      </c>
      <c r="AV123" s="35">
        <f>AW123+AX123</f>
        <v>0</v>
      </c>
      <c r="AW123" s="35">
        <f>G123*AO123</f>
        <v>0</v>
      </c>
      <c r="AX123" s="35">
        <f>G123*AP123</f>
        <v>0</v>
      </c>
      <c r="AY123" s="36" t="s">
        <v>278</v>
      </c>
      <c r="AZ123" s="36" t="s">
        <v>279</v>
      </c>
      <c r="BA123" s="12" t="s">
        <v>69</v>
      </c>
      <c r="BC123" s="35">
        <f>AW123+AX123</f>
        <v>0</v>
      </c>
      <c r="BD123" s="35">
        <f>H123/(100-BE123)*100</f>
        <v>0</v>
      </c>
      <c r="BE123" s="35">
        <v>0</v>
      </c>
      <c r="BF123" s="35">
        <f>O123</f>
        <v>0.25080000000000002</v>
      </c>
      <c r="BH123" s="35">
        <f>G123*AO123</f>
        <v>0</v>
      </c>
      <c r="BI123" s="35">
        <f>G123*AP123</f>
        <v>0</v>
      </c>
      <c r="BJ123" s="35">
        <f>G123*H123</f>
        <v>0</v>
      </c>
      <c r="BK123" s="35"/>
      <c r="BL123" s="35">
        <v>91</v>
      </c>
      <c r="BW123" s="35" t="str">
        <f>I123</f>
        <v>21</v>
      </c>
      <c r="BX123" s="4" t="s">
        <v>277</v>
      </c>
    </row>
    <row r="124" spans="1:76" ht="13.5" customHeight="1" x14ac:dyDescent="0.4">
      <c r="A124" s="38"/>
      <c r="C124" s="43" t="s">
        <v>82</v>
      </c>
      <c r="D124" s="94" t="s">
        <v>280</v>
      </c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6"/>
    </row>
    <row r="125" spans="1:76" ht="14.6" x14ac:dyDescent="0.4">
      <c r="A125" s="2" t="s">
        <v>281</v>
      </c>
      <c r="B125" s="3" t="s">
        <v>57</v>
      </c>
      <c r="C125" s="3" t="s">
        <v>282</v>
      </c>
      <c r="D125" s="84" t="s">
        <v>283</v>
      </c>
      <c r="E125" s="85"/>
      <c r="F125" s="3" t="s">
        <v>98</v>
      </c>
      <c r="G125" s="35">
        <v>24</v>
      </c>
      <c r="H125" s="82"/>
      <c r="I125" s="36" t="s">
        <v>65</v>
      </c>
      <c r="J125" s="35">
        <f>G125*AO125</f>
        <v>0</v>
      </c>
      <c r="K125" s="35">
        <f>G125*AP125</f>
        <v>0</v>
      </c>
      <c r="L125" s="35">
        <f>G125*H125</f>
        <v>0</v>
      </c>
      <c r="M125" s="35">
        <f>L125*(1+BW125/100)</f>
        <v>0</v>
      </c>
      <c r="N125" s="35">
        <v>0.10249999999999999</v>
      </c>
      <c r="O125" s="35">
        <f>G125*N125</f>
        <v>2.46</v>
      </c>
      <c r="P125" s="37" t="s">
        <v>66</v>
      </c>
      <c r="Z125" s="35">
        <f>IF(AQ125="5",BJ125,0)</f>
        <v>0</v>
      </c>
      <c r="AB125" s="35">
        <f>IF(AQ125="1",BH125,0)</f>
        <v>0</v>
      </c>
      <c r="AC125" s="35">
        <f>IF(AQ125="1",BI125,0)</f>
        <v>0</v>
      </c>
      <c r="AD125" s="35">
        <f>IF(AQ125="7",BH125,0)</f>
        <v>0</v>
      </c>
      <c r="AE125" s="35">
        <f>IF(AQ125="7",BI125,0)</f>
        <v>0</v>
      </c>
      <c r="AF125" s="35">
        <f>IF(AQ125="2",BH125,0)</f>
        <v>0</v>
      </c>
      <c r="AG125" s="35">
        <f>IF(AQ125="2",BI125,0)</f>
        <v>0</v>
      </c>
      <c r="AH125" s="35">
        <f>IF(AQ125="0",BJ125,0)</f>
        <v>0</v>
      </c>
      <c r="AI125" s="12" t="s">
        <v>57</v>
      </c>
      <c r="AJ125" s="35">
        <f>IF(AN125=0,L125,0)</f>
        <v>0</v>
      </c>
      <c r="AK125" s="35">
        <f>IF(AN125=12,L125,0)</f>
        <v>0</v>
      </c>
      <c r="AL125" s="35">
        <f>IF(AN125=21,L125,0)</f>
        <v>0</v>
      </c>
      <c r="AN125" s="35">
        <v>21</v>
      </c>
      <c r="AO125" s="35">
        <f>H125*0.610253807</f>
        <v>0</v>
      </c>
      <c r="AP125" s="35">
        <f>H125*(1-0.610253807)</f>
        <v>0</v>
      </c>
      <c r="AQ125" s="36" t="s">
        <v>61</v>
      </c>
      <c r="AV125" s="35">
        <f>AW125+AX125</f>
        <v>0</v>
      </c>
      <c r="AW125" s="35">
        <f>G125*AO125</f>
        <v>0</v>
      </c>
      <c r="AX125" s="35">
        <f>G125*AP125</f>
        <v>0</v>
      </c>
      <c r="AY125" s="36" t="s">
        <v>278</v>
      </c>
      <c r="AZ125" s="36" t="s">
        <v>279</v>
      </c>
      <c r="BA125" s="12" t="s">
        <v>69</v>
      </c>
      <c r="BC125" s="35">
        <f>AW125+AX125</f>
        <v>0</v>
      </c>
      <c r="BD125" s="35">
        <f>H125/(100-BE125)*100</f>
        <v>0</v>
      </c>
      <c r="BE125" s="35">
        <v>0</v>
      </c>
      <c r="BF125" s="35">
        <f>O125</f>
        <v>2.46</v>
      </c>
      <c r="BH125" s="35">
        <f>G125*AO125</f>
        <v>0</v>
      </c>
      <c r="BI125" s="35">
        <f>G125*AP125</f>
        <v>0</v>
      </c>
      <c r="BJ125" s="35">
        <f>G125*H125</f>
        <v>0</v>
      </c>
      <c r="BK125" s="35"/>
      <c r="BL125" s="35">
        <v>91</v>
      </c>
      <c r="BW125" s="35" t="str">
        <f>I125</f>
        <v>21</v>
      </c>
      <c r="BX125" s="4" t="s">
        <v>283</v>
      </c>
    </row>
    <row r="126" spans="1:76" ht="14.6" x14ac:dyDescent="0.4">
      <c r="A126" s="38"/>
      <c r="D126" s="39" t="s">
        <v>284</v>
      </c>
      <c r="E126" s="40" t="s">
        <v>56</v>
      </c>
      <c r="G126" s="41">
        <v>24</v>
      </c>
      <c r="P126" s="42"/>
    </row>
    <row r="127" spans="1:76" ht="14.6" x14ac:dyDescent="0.4">
      <c r="A127" s="2" t="s">
        <v>285</v>
      </c>
      <c r="B127" s="3" t="s">
        <v>57</v>
      </c>
      <c r="C127" s="3" t="s">
        <v>286</v>
      </c>
      <c r="D127" s="84" t="s">
        <v>287</v>
      </c>
      <c r="E127" s="85"/>
      <c r="F127" s="3" t="s">
        <v>98</v>
      </c>
      <c r="G127" s="35">
        <v>265.10000000000002</v>
      </c>
      <c r="H127" s="82"/>
      <c r="I127" s="36" t="s">
        <v>65</v>
      </c>
      <c r="J127" s="35">
        <f>G127*AO127</f>
        <v>0</v>
      </c>
      <c r="K127" s="35">
        <f>G127*AP127</f>
        <v>0</v>
      </c>
      <c r="L127" s="35">
        <f>G127*H127</f>
        <v>0</v>
      </c>
      <c r="M127" s="35">
        <f>L127*(1+BW127/100)</f>
        <v>0</v>
      </c>
      <c r="N127" s="35">
        <v>0.15673999999999999</v>
      </c>
      <c r="O127" s="35">
        <f>G127*N127</f>
        <v>41.551774000000002</v>
      </c>
      <c r="P127" s="37" t="s">
        <v>66</v>
      </c>
      <c r="Z127" s="35">
        <f>IF(AQ127="5",BJ127,0)</f>
        <v>0</v>
      </c>
      <c r="AB127" s="35">
        <f>IF(AQ127="1",BH127,0)</f>
        <v>0</v>
      </c>
      <c r="AC127" s="35">
        <f>IF(AQ127="1",BI127,0)</f>
        <v>0</v>
      </c>
      <c r="AD127" s="35">
        <f>IF(AQ127="7",BH127,0)</f>
        <v>0</v>
      </c>
      <c r="AE127" s="35">
        <f>IF(AQ127="7",BI127,0)</f>
        <v>0</v>
      </c>
      <c r="AF127" s="35">
        <f>IF(AQ127="2",BH127,0)</f>
        <v>0</v>
      </c>
      <c r="AG127" s="35">
        <f>IF(AQ127="2",BI127,0)</f>
        <v>0</v>
      </c>
      <c r="AH127" s="35">
        <f>IF(AQ127="0",BJ127,0)</f>
        <v>0</v>
      </c>
      <c r="AI127" s="12" t="s">
        <v>57</v>
      </c>
      <c r="AJ127" s="35">
        <f>IF(AN127=0,L127,0)</f>
        <v>0</v>
      </c>
      <c r="AK127" s="35">
        <f>IF(AN127=12,L127,0)</f>
        <v>0</v>
      </c>
      <c r="AL127" s="35">
        <f>IF(AN127=21,L127,0)</f>
        <v>0</v>
      </c>
      <c r="AN127" s="35">
        <v>21</v>
      </c>
      <c r="AO127" s="35">
        <f>H127*0.531457444</f>
        <v>0</v>
      </c>
      <c r="AP127" s="35">
        <f>H127*(1-0.531457444)</f>
        <v>0</v>
      </c>
      <c r="AQ127" s="36" t="s">
        <v>61</v>
      </c>
      <c r="AV127" s="35">
        <f>AW127+AX127</f>
        <v>0</v>
      </c>
      <c r="AW127" s="35">
        <f>G127*AO127</f>
        <v>0</v>
      </c>
      <c r="AX127" s="35">
        <f>G127*AP127</f>
        <v>0</v>
      </c>
      <c r="AY127" s="36" t="s">
        <v>278</v>
      </c>
      <c r="AZ127" s="36" t="s">
        <v>279</v>
      </c>
      <c r="BA127" s="12" t="s">
        <v>69</v>
      </c>
      <c r="BC127" s="35">
        <f>AW127+AX127</f>
        <v>0</v>
      </c>
      <c r="BD127" s="35">
        <f>H127/(100-BE127)*100</f>
        <v>0</v>
      </c>
      <c r="BE127" s="35">
        <v>0</v>
      </c>
      <c r="BF127" s="35">
        <f>O127</f>
        <v>41.551774000000002</v>
      </c>
      <c r="BH127" s="35">
        <f>G127*AO127</f>
        <v>0</v>
      </c>
      <c r="BI127" s="35">
        <f>G127*AP127</f>
        <v>0</v>
      </c>
      <c r="BJ127" s="35">
        <f>G127*H127</f>
        <v>0</v>
      </c>
      <c r="BK127" s="35"/>
      <c r="BL127" s="35">
        <v>91</v>
      </c>
      <c r="BW127" s="35" t="str">
        <f>I127</f>
        <v>21</v>
      </c>
      <c r="BX127" s="4" t="s">
        <v>287</v>
      </c>
    </row>
    <row r="128" spans="1:76" ht="14.6" x14ac:dyDescent="0.4">
      <c r="A128" s="38"/>
      <c r="D128" s="39" t="s">
        <v>288</v>
      </c>
      <c r="E128" s="40" t="s">
        <v>56</v>
      </c>
      <c r="G128" s="41">
        <v>265.10000000000002</v>
      </c>
      <c r="P128" s="42"/>
    </row>
    <row r="129" spans="1:76" ht="13.5" customHeight="1" x14ac:dyDescent="0.4">
      <c r="A129" s="38"/>
      <c r="C129" s="44" t="s">
        <v>85</v>
      </c>
      <c r="D129" s="86" t="s">
        <v>289</v>
      </c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8"/>
    </row>
    <row r="130" spans="1:76" ht="24.9" x14ac:dyDescent="0.4">
      <c r="A130" s="2" t="s">
        <v>290</v>
      </c>
      <c r="B130" s="3" t="s">
        <v>57</v>
      </c>
      <c r="C130" s="3" t="s">
        <v>291</v>
      </c>
      <c r="D130" s="84" t="s">
        <v>292</v>
      </c>
      <c r="E130" s="85"/>
      <c r="F130" s="3" t="s">
        <v>98</v>
      </c>
      <c r="G130" s="35">
        <v>25.5</v>
      </c>
      <c r="H130" s="82"/>
      <c r="I130" s="36" t="s">
        <v>65</v>
      </c>
      <c r="J130" s="35">
        <f>G130*AO130</f>
        <v>0</v>
      </c>
      <c r="K130" s="35">
        <f>G130*AP130</f>
        <v>0</v>
      </c>
      <c r="L130" s="35">
        <f>G130*H130</f>
        <v>0</v>
      </c>
      <c r="M130" s="35">
        <f>L130*(1+BW130/100)</f>
        <v>0</v>
      </c>
      <c r="N130" s="35">
        <v>1E-4</v>
      </c>
      <c r="O130" s="35">
        <f>G130*N130</f>
        <v>2.5500000000000002E-3</v>
      </c>
      <c r="P130" s="37" t="s">
        <v>66</v>
      </c>
      <c r="Z130" s="35">
        <f>IF(AQ130="5",BJ130,0)</f>
        <v>0</v>
      </c>
      <c r="AB130" s="35">
        <f>IF(AQ130="1",BH130,0)</f>
        <v>0</v>
      </c>
      <c r="AC130" s="35">
        <f>IF(AQ130="1",BI130,0)</f>
        <v>0</v>
      </c>
      <c r="AD130" s="35">
        <f>IF(AQ130="7",BH130,0)</f>
        <v>0</v>
      </c>
      <c r="AE130" s="35">
        <f>IF(AQ130="7",BI130,0)</f>
        <v>0</v>
      </c>
      <c r="AF130" s="35">
        <f>IF(AQ130="2",BH130,0)</f>
        <v>0</v>
      </c>
      <c r="AG130" s="35">
        <f>IF(AQ130="2",BI130,0)</f>
        <v>0</v>
      </c>
      <c r="AH130" s="35">
        <f>IF(AQ130="0",BJ130,0)</f>
        <v>0</v>
      </c>
      <c r="AI130" s="12" t="s">
        <v>57</v>
      </c>
      <c r="AJ130" s="35">
        <f>IF(AN130=0,L130,0)</f>
        <v>0</v>
      </c>
      <c r="AK130" s="35">
        <f>IF(AN130=12,L130,0)</f>
        <v>0</v>
      </c>
      <c r="AL130" s="35">
        <f>IF(AN130=21,L130,0)</f>
        <v>0</v>
      </c>
      <c r="AN130" s="35">
        <v>21</v>
      </c>
      <c r="AO130" s="35">
        <f>H130*0.108510638</f>
        <v>0</v>
      </c>
      <c r="AP130" s="35">
        <f>H130*(1-0.108510638)</f>
        <v>0</v>
      </c>
      <c r="AQ130" s="36" t="s">
        <v>61</v>
      </c>
      <c r="AV130" s="35">
        <f>AW130+AX130</f>
        <v>0</v>
      </c>
      <c r="AW130" s="35">
        <f>G130*AO130</f>
        <v>0</v>
      </c>
      <c r="AX130" s="35">
        <f>G130*AP130</f>
        <v>0</v>
      </c>
      <c r="AY130" s="36" t="s">
        <v>278</v>
      </c>
      <c r="AZ130" s="36" t="s">
        <v>279</v>
      </c>
      <c r="BA130" s="12" t="s">
        <v>69</v>
      </c>
      <c r="BC130" s="35">
        <f>AW130+AX130</f>
        <v>0</v>
      </c>
      <c r="BD130" s="35">
        <f>H130/(100-BE130)*100</f>
        <v>0</v>
      </c>
      <c r="BE130" s="35">
        <v>0</v>
      </c>
      <c r="BF130" s="35">
        <f>O130</f>
        <v>2.5500000000000002E-3</v>
      </c>
      <c r="BH130" s="35">
        <f>G130*AO130</f>
        <v>0</v>
      </c>
      <c r="BI130" s="35">
        <f>G130*AP130</f>
        <v>0</v>
      </c>
      <c r="BJ130" s="35">
        <f>G130*H130</f>
        <v>0</v>
      </c>
      <c r="BK130" s="35"/>
      <c r="BL130" s="35">
        <v>91</v>
      </c>
      <c r="BW130" s="35" t="str">
        <f>I130</f>
        <v>21</v>
      </c>
      <c r="BX130" s="4" t="s">
        <v>292</v>
      </c>
    </row>
    <row r="131" spans="1:76" ht="13.5" customHeight="1" x14ac:dyDescent="0.4">
      <c r="A131" s="38"/>
      <c r="C131" s="43" t="s">
        <v>82</v>
      </c>
      <c r="D131" s="94" t="s">
        <v>293</v>
      </c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6"/>
    </row>
    <row r="132" spans="1:76" ht="14.6" x14ac:dyDescent="0.4">
      <c r="A132" s="2" t="s">
        <v>294</v>
      </c>
      <c r="B132" s="3" t="s">
        <v>57</v>
      </c>
      <c r="C132" s="3" t="s">
        <v>295</v>
      </c>
      <c r="D132" s="84" t="s">
        <v>296</v>
      </c>
      <c r="E132" s="85"/>
      <c r="F132" s="3" t="s">
        <v>98</v>
      </c>
      <c r="G132" s="35">
        <v>25.5</v>
      </c>
      <c r="H132" s="82"/>
      <c r="I132" s="36" t="s">
        <v>65</v>
      </c>
      <c r="J132" s="35">
        <f>G132*AO132</f>
        <v>0</v>
      </c>
      <c r="K132" s="35">
        <f>G132*AP132</f>
        <v>0</v>
      </c>
      <c r="L132" s="35">
        <f>G132*H132</f>
        <v>0</v>
      </c>
      <c r="M132" s="35">
        <f>L132*(1+BW132/100)</f>
        <v>0</v>
      </c>
      <c r="N132" s="35">
        <v>0</v>
      </c>
      <c r="O132" s="35">
        <f>G132*N132</f>
        <v>0</v>
      </c>
      <c r="P132" s="37" t="s">
        <v>66</v>
      </c>
      <c r="Z132" s="35">
        <f>IF(AQ132="5",BJ132,0)</f>
        <v>0</v>
      </c>
      <c r="AB132" s="35">
        <f>IF(AQ132="1",BH132,0)</f>
        <v>0</v>
      </c>
      <c r="AC132" s="35">
        <f>IF(AQ132="1",BI132,0)</f>
        <v>0</v>
      </c>
      <c r="AD132" s="35">
        <f>IF(AQ132="7",BH132,0)</f>
        <v>0</v>
      </c>
      <c r="AE132" s="35">
        <f>IF(AQ132="7",BI132,0)</f>
        <v>0</v>
      </c>
      <c r="AF132" s="35">
        <f>IF(AQ132="2",BH132,0)</f>
        <v>0</v>
      </c>
      <c r="AG132" s="35">
        <f>IF(AQ132="2",BI132,0)</f>
        <v>0</v>
      </c>
      <c r="AH132" s="35">
        <f>IF(AQ132="0",BJ132,0)</f>
        <v>0</v>
      </c>
      <c r="AI132" s="12" t="s">
        <v>57</v>
      </c>
      <c r="AJ132" s="35">
        <f>IF(AN132=0,L132,0)</f>
        <v>0</v>
      </c>
      <c r="AK132" s="35">
        <f>IF(AN132=12,L132,0)</f>
        <v>0</v>
      </c>
      <c r="AL132" s="35">
        <f>IF(AN132=21,L132,0)</f>
        <v>0</v>
      </c>
      <c r="AN132" s="35">
        <v>21</v>
      </c>
      <c r="AO132" s="35">
        <f>H132*0.556967799</f>
        <v>0</v>
      </c>
      <c r="AP132" s="35">
        <f>H132*(1-0.556967799)</f>
        <v>0</v>
      </c>
      <c r="AQ132" s="36" t="s">
        <v>61</v>
      </c>
      <c r="AV132" s="35">
        <f>AW132+AX132</f>
        <v>0</v>
      </c>
      <c r="AW132" s="35">
        <f>G132*AO132</f>
        <v>0</v>
      </c>
      <c r="AX132" s="35">
        <f>G132*AP132</f>
        <v>0</v>
      </c>
      <c r="AY132" s="36" t="s">
        <v>278</v>
      </c>
      <c r="AZ132" s="36" t="s">
        <v>279</v>
      </c>
      <c r="BA132" s="12" t="s">
        <v>69</v>
      </c>
      <c r="BC132" s="35">
        <f>AW132+AX132</f>
        <v>0</v>
      </c>
      <c r="BD132" s="35">
        <f>H132/(100-BE132)*100</f>
        <v>0</v>
      </c>
      <c r="BE132" s="35">
        <v>0</v>
      </c>
      <c r="BF132" s="35">
        <f>O132</f>
        <v>0</v>
      </c>
      <c r="BH132" s="35">
        <f>G132*AO132</f>
        <v>0</v>
      </c>
      <c r="BI132" s="35">
        <f>G132*AP132</f>
        <v>0</v>
      </c>
      <c r="BJ132" s="35">
        <f>G132*H132</f>
        <v>0</v>
      </c>
      <c r="BK132" s="35"/>
      <c r="BL132" s="35">
        <v>91</v>
      </c>
      <c r="BW132" s="35" t="str">
        <f>I132</f>
        <v>21</v>
      </c>
      <c r="BX132" s="4" t="s">
        <v>296</v>
      </c>
    </row>
    <row r="133" spans="1:76" ht="14.6" x14ac:dyDescent="0.4">
      <c r="A133" s="38"/>
      <c r="D133" s="39" t="s">
        <v>297</v>
      </c>
      <c r="E133" s="40" t="s">
        <v>56</v>
      </c>
      <c r="G133" s="41">
        <v>25.5</v>
      </c>
      <c r="P133" s="42"/>
    </row>
    <row r="134" spans="1:76" ht="14.6" x14ac:dyDescent="0.4">
      <c r="A134" s="2" t="s">
        <v>298</v>
      </c>
      <c r="B134" s="3" t="s">
        <v>57</v>
      </c>
      <c r="C134" s="3" t="s">
        <v>299</v>
      </c>
      <c r="D134" s="84" t="s">
        <v>300</v>
      </c>
      <c r="E134" s="85"/>
      <c r="F134" s="3" t="s">
        <v>64</v>
      </c>
      <c r="G134" s="35">
        <v>700</v>
      </c>
      <c r="H134" s="82"/>
      <c r="I134" s="36" t="s">
        <v>65</v>
      </c>
      <c r="J134" s="35">
        <f>G134*AO134</f>
        <v>0</v>
      </c>
      <c r="K134" s="35">
        <f>G134*AP134</f>
        <v>0</v>
      </c>
      <c r="L134" s="35">
        <f>G134*H134</f>
        <v>0</v>
      </c>
      <c r="M134" s="35">
        <f>L134*(1+BW134/100)</f>
        <v>0</v>
      </c>
      <c r="N134" s="35">
        <v>1.0000000000000001E-5</v>
      </c>
      <c r="O134" s="35">
        <f>G134*N134</f>
        <v>7.0000000000000001E-3</v>
      </c>
      <c r="P134" s="37" t="s">
        <v>66</v>
      </c>
      <c r="Z134" s="35">
        <f>IF(AQ134="5",BJ134,0)</f>
        <v>0</v>
      </c>
      <c r="AB134" s="35">
        <f>IF(AQ134="1",BH134,0)</f>
        <v>0</v>
      </c>
      <c r="AC134" s="35">
        <f>IF(AQ134="1",BI134,0)</f>
        <v>0</v>
      </c>
      <c r="AD134" s="35">
        <f>IF(AQ134="7",BH134,0)</f>
        <v>0</v>
      </c>
      <c r="AE134" s="35">
        <f>IF(AQ134="7",BI134,0)</f>
        <v>0</v>
      </c>
      <c r="AF134" s="35">
        <f>IF(AQ134="2",BH134,0)</f>
        <v>0</v>
      </c>
      <c r="AG134" s="35">
        <f>IF(AQ134="2",BI134,0)</f>
        <v>0</v>
      </c>
      <c r="AH134" s="35">
        <f>IF(AQ134="0",BJ134,0)</f>
        <v>0</v>
      </c>
      <c r="AI134" s="12" t="s">
        <v>57</v>
      </c>
      <c r="AJ134" s="35">
        <f>IF(AN134=0,L134,0)</f>
        <v>0</v>
      </c>
      <c r="AK134" s="35">
        <f>IF(AN134=12,L134,0)</f>
        <v>0</v>
      </c>
      <c r="AL134" s="35">
        <f>IF(AN134=21,L134,0)</f>
        <v>0</v>
      </c>
      <c r="AN134" s="35">
        <v>21</v>
      </c>
      <c r="AO134" s="35">
        <f>H134*0.080103359</f>
        <v>0</v>
      </c>
      <c r="AP134" s="35">
        <f>H134*(1-0.080103359)</f>
        <v>0</v>
      </c>
      <c r="AQ134" s="36" t="s">
        <v>61</v>
      </c>
      <c r="AV134" s="35">
        <f>AW134+AX134</f>
        <v>0</v>
      </c>
      <c r="AW134" s="35">
        <f>G134*AO134</f>
        <v>0</v>
      </c>
      <c r="AX134" s="35">
        <f>G134*AP134</f>
        <v>0</v>
      </c>
      <c r="AY134" s="36" t="s">
        <v>278</v>
      </c>
      <c r="AZ134" s="36" t="s">
        <v>279</v>
      </c>
      <c r="BA134" s="12" t="s">
        <v>69</v>
      </c>
      <c r="BC134" s="35">
        <f>AW134+AX134</f>
        <v>0</v>
      </c>
      <c r="BD134" s="35">
        <f>H134/(100-BE134)*100</f>
        <v>0</v>
      </c>
      <c r="BE134" s="35">
        <v>0</v>
      </c>
      <c r="BF134" s="35">
        <f>O134</f>
        <v>7.0000000000000001E-3</v>
      </c>
      <c r="BH134" s="35">
        <f>G134*AO134</f>
        <v>0</v>
      </c>
      <c r="BI134" s="35">
        <f>G134*AP134</f>
        <v>0</v>
      </c>
      <c r="BJ134" s="35">
        <f>G134*H134</f>
        <v>0</v>
      </c>
      <c r="BK134" s="35"/>
      <c r="BL134" s="35">
        <v>91</v>
      </c>
      <c r="BW134" s="35" t="str">
        <f>I134</f>
        <v>21</v>
      </c>
      <c r="BX134" s="4" t="s">
        <v>300</v>
      </c>
    </row>
    <row r="135" spans="1:76" ht="14.6" x14ac:dyDescent="0.4">
      <c r="A135" s="2" t="s">
        <v>301</v>
      </c>
      <c r="B135" s="3" t="s">
        <v>57</v>
      </c>
      <c r="C135" s="3" t="s">
        <v>302</v>
      </c>
      <c r="D135" s="84" t="s">
        <v>303</v>
      </c>
      <c r="E135" s="85"/>
      <c r="F135" s="3" t="s">
        <v>98</v>
      </c>
      <c r="G135" s="35">
        <v>324.39999999999998</v>
      </c>
      <c r="H135" s="82"/>
      <c r="I135" s="36" t="s">
        <v>65</v>
      </c>
      <c r="J135" s="35">
        <f>G135*AO135</f>
        <v>0</v>
      </c>
      <c r="K135" s="35">
        <f>G135*AP135</f>
        <v>0</v>
      </c>
      <c r="L135" s="35">
        <f>G135*H135</f>
        <v>0</v>
      </c>
      <c r="M135" s="35">
        <f>L135*(1+BW135/100)</f>
        <v>0</v>
      </c>
      <c r="N135" s="35">
        <v>0</v>
      </c>
      <c r="O135" s="35">
        <f>G135*N135</f>
        <v>0</v>
      </c>
      <c r="P135" s="37" t="s">
        <v>66</v>
      </c>
      <c r="Z135" s="35">
        <f>IF(AQ135="5",BJ135,0)</f>
        <v>0</v>
      </c>
      <c r="AB135" s="35">
        <f>IF(AQ135="1",BH135,0)</f>
        <v>0</v>
      </c>
      <c r="AC135" s="35">
        <f>IF(AQ135="1",BI135,0)</f>
        <v>0</v>
      </c>
      <c r="AD135" s="35">
        <f>IF(AQ135="7",BH135,0)</f>
        <v>0</v>
      </c>
      <c r="AE135" s="35">
        <f>IF(AQ135="7",BI135,0)</f>
        <v>0</v>
      </c>
      <c r="AF135" s="35">
        <f>IF(AQ135="2",BH135,0)</f>
        <v>0</v>
      </c>
      <c r="AG135" s="35">
        <f>IF(AQ135="2",BI135,0)</f>
        <v>0</v>
      </c>
      <c r="AH135" s="35">
        <f>IF(AQ135="0",BJ135,0)</f>
        <v>0</v>
      </c>
      <c r="AI135" s="12" t="s">
        <v>57</v>
      </c>
      <c r="AJ135" s="35">
        <f>IF(AN135=0,L135,0)</f>
        <v>0</v>
      </c>
      <c r="AK135" s="35">
        <f>IF(AN135=12,L135,0)</f>
        <v>0</v>
      </c>
      <c r="AL135" s="35">
        <f>IF(AN135=21,L135,0)</f>
        <v>0</v>
      </c>
      <c r="AN135" s="35">
        <v>21</v>
      </c>
      <c r="AO135" s="35">
        <f>H135*0</f>
        <v>0</v>
      </c>
      <c r="AP135" s="35">
        <f>H135*(1-0)</f>
        <v>0</v>
      </c>
      <c r="AQ135" s="36" t="s">
        <v>61</v>
      </c>
      <c r="AV135" s="35">
        <f>AW135+AX135</f>
        <v>0</v>
      </c>
      <c r="AW135" s="35">
        <f>G135*AO135</f>
        <v>0</v>
      </c>
      <c r="AX135" s="35">
        <f>G135*AP135</f>
        <v>0</v>
      </c>
      <c r="AY135" s="36" t="s">
        <v>278</v>
      </c>
      <c r="AZ135" s="36" t="s">
        <v>279</v>
      </c>
      <c r="BA135" s="12" t="s">
        <v>69</v>
      </c>
      <c r="BC135" s="35">
        <f>AW135+AX135</f>
        <v>0</v>
      </c>
      <c r="BD135" s="35">
        <f>H135/(100-BE135)*100</f>
        <v>0</v>
      </c>
      <c r="BE135" s="35">
        <v>0</v>
      </c>
      <c r="BF135" s="35">
        <f>O135</f>
        <v>0</v>
      </c>
      <c r="BH135" s="35">
        <f>G135*AO135</f>
        <v>0</v>
      </c>
      <c r="BI135" s="35">
        <f>G135*AP135</f>
        <v>0</v>
      </c>
      <c r="BJ135" s="35">
        <f>G135*H135</f>
        <v>0</v>
      </c>
      <c r="BK135" s="35"/>
      <c r="BL135" s="35">
        <v>91</v>
      </c>
      <c r="BW135" s="35" t="str">
        <f>I135</f>
        <v>21</v>
      </c>
      <c r="BX135" s="4" t="s">
        <v>303</v>
      </c>
    </row>
    <row r="136" spans="1:76" ht="14.6" x14ac:dyDescent="0.4">
      <c r="A136" s="2" t="s">
        <v>304</v>
      </c>
      <c r="B136" s="3" t="s">
        <v>57</v>
      </c>
      <c r="C136" s="3" t="s">
        <v>305</v>
      </c>
      <c r="D136" s="84" t="s">
        <v>306</v>
      </c>
      <c r="E136" s="85"/>
      <c r="F136" s="3" t="s">
        <v>64</v>
      </c>
      <c r="G136" s="35">
        <v>32.4</v>
      </c>
      <c r="H136" s="82"/>
      <c r="I136" s="36" t="s">
        <v>65</v>
      </c>
      <c r="J136" s="35">
        <f>G136*AO136</f>
        <v>0</v>
      </c>
      <c r="K136" s="35">
        <f>G136*AP136</f>
        <v>0</v>
      </c>
      <c r="L136" s="35">
        <f>G136*H136</f>
        <v>0</v>
      </c>
      <c r="M136" s="35">
        <f>L136*(1+BW136/100)</f>
        <v>0</v>
      </c>
      <c r="N136" s="35">
        <v>0</v>
      </c>
      <c r="O136" s="35">
        <f>G136*N136</f>
        <v>0</v>
      </c>
      <c r="P136" s="37" t="s">
        <v>66</v>
      </c>
      <c r="Z136" s="35">
        <f>IF(AQ136="5",BJ136,0)</f>
        <v>0</v>
      </c>
      <c r="AB136" s="35">
        <f>IF(AQ136="1",BH136,0)</f>
        <v>0</v>
      </c>
      <c r="AC136" s="35">
        <f>IF(AQ136="1",BI136,0)</f>
        <v>0</v>
      </c>
      <c r="AD136" s="35">
        <f>IF(AQ136="7",BH136,0)</f>
        <v>0</v>
      </c>
      <c r="AE136" s="35">
        <f>IF(AQ136="7",BI136,0)</f>
        <v>0</v>
      </c>
      <c r="AF136" s="35">
        <f>IF(AQ136="2",BH136,0)</f>
        <v>0</v>
      </c>
      <c r="AG136" s="35">
        <f>IF(AQ136="2",BI136,0)</f>
        <v>0</v>
      </c>
      <c r="AH136" s="35">
        <f>IF(AQ136="0",BJ136,0)</f>
        <v>0</v>
      </c>
      <c r="AI136" s="12" t="s">
        <v>57</v>
      </c>
      <c r="AJ136" s="35">
        <f>IF(AN136=0,L136,0)</f>
        <v>0</v>
      </c>
      <c r="AK136" s="35">
        <f>IF(AN136=12,L136,0)</f>
        <v>0</v>
      </c>
      <c r="AL136" s="35">
        <f>IF(AN136=21,L136,0)</f>
        <v>0</v>
      </c>
      <c r="AN136" s="35">
        <v>21</v>
      </c>
      <c r="AO136" s="35">
        <f>H136*0</f>
        <v>0</v>
      </c>
      <c r="AP136" s="35">
        <f>H136*(1-0)</f>
        <v>0</v>
      </c>
      <c r="AQ136" s="36" t="s">
        <v>61</v>
      </c>
      <c r="AV136" s="35">
        <f>AW136+AX136</f>
        <v>0</v>
      </c>
      <c r="AW136" s="35">
        <f>G136*AO136</f>
        <v>0</v>
      </c>
      <c r="AX136" s="35">
        <f>G136*AP136</f>
        <v>0</v>
      </c>
      <c r="AY136" s="36" t="s">
        <v>278</v>
      </c>
      <c r="AZ136" s="36" t="s">
        <v>279</v>
      </c>
      <c r="BA136" s="12" t="s">
        <v>69</v>
      </c>
      <c r="BC136" s="35">
        <f>AW136+AX136</f>
        <v>0</v>
      </c>
      <c r="BD136" s="35">
        <f>H136/(100-BE136)*100</f>
        <v>0</v>
      </c>
      <c r="BE136" s="35">
        <v>0</v>
      </c>
      <c r="BF136" s="35">
        <f>O136</f>
        <v>0</v>
      </c>
      <c r="BH136" s="35">
        <f>G136*AO136</f>
        <v>0</v>
      </c>
      <c r="BI136" s="35">
        <f>G136*AP136</f>
        <v>0</v>
      </c>
      <c r="BJ136" s="35">
        <f>G136*H136</f>
        <v>0</v>
      </c>
      <c r="BK136" s="35"/>
      <c r="BL136" s="35">
        <v>91</v>
      </c>
      <c r="BW136" s="35" t="str">
        <f>I136</f>
        <v>21</v>
      </c>
      <c r="BX136" s="4" t="s">
        <v>306</v>
      </c>
    </row>
    <row r="137" spans="1:76" ht="14.6" x14ac:dyDescent="0.4">
      <c r="A137" s="31" t="s">
        <v>56</v>
      </c>
      <c r="B137" s="32" t="s">
        <v>57</v>
      </c>
      <c r="C137" s="32" t="s">
        <v>307</v>
      </c>
      <c r="D137" s="89" t="s">
        <v>308</v>
      </c>
      <c r="E137" s="90"/>
      <c r="F137" s="33" t="s">
        <v>4</v>
      </c>
      <c r="G137" s="33" t="s">
        <v>4</v>
      </c>
      <c r="H137" s="33" t="s">
        <v>4</v>
      </c>
      <c r="I137" s="33" t="s">
        <v>4</v>
      </c>
      <c r="J137" s="1">
        <f>SUM(J138:J138)</f>
        <v>0</v>
      </c>
      <c r="K137" s="1">
        <f>SUM(K138:K138)</f>
        <v>0</v>
      </c>
      <c r="L137" s="1">
        <f>SUM(L138:L138)</f>
        <v>0</v>
      </c>
      <c r="M137" s="1">
        <f>SUM(M138:M138)</f>
        <v>0</v>
      </c>
      <c r="N137" s="12" t="s">
        <v>56</v>
      </c>
      <c r="O137" s="1">
        <f>SUM(O138:O138)</f>
        <v>8.2000000000000003E-2</v>
      </c>
      <c r="P137" s="34" t="s">
        <v>56</v>
      </c>
      <c r="AI137" s="12" t="s">
        <v>57</v>
      </c>
      <c r="AS137" s="1">
        <f>SUM(AJ138:AJ138)</f>
        <v>0</v>
      </c>
      <c r="AT137" s="1">
        <f>SUM(AK138:AK138)</f>
        <v>0</v>
      </c>
      <c r="AU137" s="1">
        <f>SUM(AL138:AL138)</f>
        <v>0</v>
      </c>
    </row>
    <row r="138" spans="1:76" ht="14.6" x14ac:dyDescent="0.4">
      <c r="A138" s="2" t="s">
        <v>309</v>
      </c>
      <c r="B138" s="3" t="s">
        <v>57</v>
      </c>
      <c r="C138" s="3" t="s">
        <v>310</v>
      </c>
      <c r="D138" s="84" t="s">
        <v>311</v>
      </c>
      <c r="E138" s="85"/>
      <c r="F138" s="3" t="s">
        <v>133</v>
      </c>
      <c r="G138" s="35">
        <v>1</v>
      </c>
      <c r="H138" s="82"/>
      <c r="I138" s="36" t="s">
        <v>65</v>
      </c>
      <c r="J138" s="35">
        <f>G138*AO138</f>
        <v>0</v>
      </c>
      <c r="K138" s="35">
        <f>G138*AP138</f>
        <v>0</v>
      </c>
      <c r="L138" s="35">
        <f>G138*H138</f>
        <v>0</v>
      </c>
      <c r="M138" s="35">
        <f>L138*(1+BW138/100)</f>
        <v>0</v>
      </c>
      <c r="N138" s="35">
        <v>8.2000000000000003E-2</v>
      </c>
      <c r="O138" s="35">
        <f>G138*N138</f>
        <v>8.2000000000000003E-2</v>
      </c>
      <c r="P138" s="37" t="s">
        <v>66</v>
      </c>
      <c r="Z138" s="35">
        <f>IF(AQ138="5",BJ138,0)</f>
        <v>0</v>
      </c>
      <c r="AB138" s="35">
        <f>IF(AQ138="1",BH138,0)</f>
        <v>0</v>
      </c>
      <c r="AC138" s="35">
        <f>IF(AQ138="1",BI138,0)</f>
        <v>0</v>
      </c>
      <c r="AD138" s="35">
        <f>IF(AQ138="7",BH138,0)</f>
        <v>0</v>
      </c>
      <c r="AE138" s="35">
        <f>IF(AQ138="7",BI138,0)</f>
        <v>0</v>
      </c>
      <c r="AF138" s="35">
        <f>IF(AQ138="2",BH138,0)</f>
        <v>0</v>
      </c>
      <c r="AG138" s="35">
        <f>IF(AQ138="2",BI138,0)</f>
        <v>0</v>
      </c>
      <c r="AH138" s="35">
        <f>IF(AQ138="0",BJ138,0)</f>
        <v>0</v>
      </c>
      <c r="AI138" s="12" t="s">
        <v>57</v>
      </c>
      <c r="AJ138" s="35">
        <f>IF(AN138=0,L138,0)</f>
        <v>0</v>
      </c>
      <c r="AK138" s="35">
        <f>IF(AN138=12,L138,0)</f>
        <v>0</v>
      </c>
      <c r="AL138" s="35">
        <f>IF(AN138=21,L138,0)</f>
        <v>0</v>
      </c>
      <c r="AN138" s="35">
        <v>21</v>
      </c>
      <c r="AO138" s="35">
        <f>H138*0</f>
        <v>0</v>
      </c>
      <c r="AP138" s="35">
        <f>H138*(1-0)</f>
        <v>0</v>
      </c>
      <c r="AQ138" s="36" t="s">
        <v>61</v>
      </c>
      <c r="AV138" s="35">
        <f>AW138+AX138</f>
        <v>0</v>
      </c>
      <c r="AW138" s="35">
        <f>G138*AO138</f>
        <v>0</v>
      </c>
      <c r="AX138" s="35">
        <f>G138*AP138</f>
        <v>0</v>
      </c>
      <c r="AY138" s="36" t="s">
        <v>312</v>
      </c>
      <c r="AZ138" s="36" t="s">
        <v>279</v>
      </c>
      <c r="BA138" s="12" t="s">
        <v>69</v>
      </c>
      <c r="BC138" s="35">
        <f>AW138+AX138</f>
        <v>0</v>
      </c>
      <c r="BD138" s="35">
        <f>H138/(100-BE138)*100</f>
        <v>0</v>
      </c>
      <c r="BE138" s="35">
        <v>0</v>
      </c>
      <c r="BF138" s="35">
        <f>O138</f>
        <v>8.2000000000000003E-2</v>
      </c>
      <c r="BH138" s="35">
        <f>G138*AO138</f>
        <v>0</v>
      </c>
      <c r="BI138" s="35">
        <f>G138*AP138</f>
        <v>0</v>
      </c>
      <c r="BJ138" s="35">
        <f>G138*H138</f>
        <v>0</v>
      </c>
      <c r="BK138" s="35"/>
      <c r="BL138" s="35">
        <v>96</v>
      </c>
      <c r="BW138" s="35" t="str">
        <f>I138</f>
        <v>21</v>
      </c>
      <c r="BX138" s="4" t="s">
        <v>311</v>
      </c>
    </row>
    <row r="139" spans="1:76" ht="14.6" x14ac:dyDescent="0.4">
      <c r="A139" s="31" t="s">
        <v>56</v>
      </c>
      <c r="B139" s="32" t="s">
        <v>57</v>
      </c>
      <c r="C139" s="32" t="s">
        <v>313</v>
      </c>
      <c r="D139" s="89" t="s">
        <v>314</v>
      </c>
      <c r="E139" s="90"/>
      <c r="F139" s="33" t="s">
        <v>4</v>
      </c>
      <c r="G139" s="33" t="s">
        <v>4</v>
      </c>
      <c r="H139" s="33" t="s">
        <v>4</v>
      </c>
      <c r="I139" s="33" t="s">
        <v>4</v>
      </c>
      <c r="J139" s="1">
        <f>SUM(J140:J140)</f>
        <v>0</v>
      </c>
      <c r="K139" s="1">
        <f>SUM(K140:K140)</f>
        <v>0</v>
      </c>
      <c r="L139" s="1">
        <f>SUM(L140:L140)</f>
        <v>0</v>
      </c>
      <c r="M139" s="1">
        <f>SUM(M140:M140)</f>
        <v>0</v>
      </c>
      <c r="N139" s="12" t="s">
        <v>56</v>
      </c>
      <c r="O139" s="1">
        <f>SUM(O140:O140)</f>
        <v>0.378</v>
      </c>
      <c r="P139" s="34" t="s">
        <v>56</v>
      </c>
      <c r="AI139" s="12" t="s">
        <v>57</v>
      </c>
      <c r="AS139" s="1">
        <f>SUM(AJ140:AJ140)</f>
        <v>0</v>
      </c>
      <c r="AT139" s="1">
        <f>SUM(AK140:AK140)</f>
        <v>0</v>
      </c>
      <c r="AU139" s="1">
        <f>SUM(AL140:AL140)</f>
        <v>0</v>
      </c>
    </row>
    <row r="140" spans="1:76" ht="14.6" x14ac:dyDescent="0.4">
      <c r="A140" s="2" t="s">
        <v>315</v>
      </c>
      <c r="B140" s="3" t="s">
        <v>57</v>
      </c>
      <c r="C140" s="3" t="s">
        <v>316</v>
      </c>
      <c r="D140" s="84" t="s">
        <v>317</v>
      </c>
      <c r="E140" s="85"/>
      <c r="F140" s="3" t="s">
        <v>98</v>
      </c>
      <c r="G140" s="35">
        <v>1.4</v>
      </c>
      <c r="H140" s="82"/>
      <c r="I140" s="36" t="s">
        <v>65</v>
      </c>
      <c r="J140" s="35">
        <f>G140*AO140</f>
        <v>0</v>
      </c>
      <c r="K140" s="35">
        <f>G140*AP140</f>
        <v>0</v>
      </c>
      <c r="L140" s="35">
        <f>G140*H140</f>
        <v>0</v>
      </c>
      <c r="M140" s="35">
        <f>L140*(1+BW140/100)</f>
        <v>0</v>
      </c>
      <c r="N140" s="35">
        <v>0.27</v>
      </c>
      <c r="O140" s="35">
        <f>G140*N140</f>
        <v>0.378</v>
      </c>
      <c r="P140" s="37" t="s">
        <v>318</v>
      </c>
      <c r="Z140" s="35">
        <f>IF(AQ140="5",BJ140,0)</f>
        <v>0</v>
      </c>
      <c r="AB140" s="35">
        <f>IF(AQ140="1",BH140,0)</f>
        <v>0</v>
      </c>
      <c r="AC140" s="35">
        <f>IF(AQ140="1",BI140,0)</f>
        <v>0</v>
      </c>
      <c r="AD140" s="35">
        <f>IF(AQ140="7",BH140,0)</f>
        <v>0</v>
      </c>
      <c r="AE140" s="35">
        <f>IF(AQ140="7",BI140,0)</f>
        <v>0</v>
      </c>
      <c r="AF140" s="35">
        <f>IF(AQ140="2",BH140,0)</f>
        <v>0</v>
      </c>
      <c r="AG140" s="35">
        <f>IF(AQ140="2",BI140,0)</f>
        <v>0</v>
      </c>
      <c r="AH140" s="35">
        <f>IF(AQ140="0",BJ140,0)</f>
        <v>0</v>
      </c>
      <c r="AI140" s="12" t="s">
        <v>57</v>
      </c>
      <c r="AJ140" s="35">
        <f>IF(AN140=0,L140,0)</f>
        <v>0</v>
      </c>
      <c r="AK140" s="35">
        <f>IF(AN140=12,L140,0)</f>
        <v>0</v>
      </c>
      <c r="AL140" s="35">
        <f>IF(AN140=21,L140,0)</f>
        <v>0</v>
      </c>
      <c r="AN140" s="35">
        <v>21</v>
      </c>
      <c r="AO140" s="35">
        <f>H140*0</f>
        <v>0</v>
      </c>
      <c r="AP140" s="35">
        <f>H140*(1-0)</f>
        <v>0</v>
      </c>
      <c r="AQ140" s="36" t="s">
        <v>61</v>
      </c>
      <c r="AV140" s="35">
        <f>AW140+AX140</f>
        <v>0</v>
      </c>
      <c r="AW140" s="35">
        <f>G140*AO140</f>
        <v>0</v>
      </c>
      <c r="AX140" s="35">
        <f>G140*AP140</f>
        <v>0</v>
      </c>
      <c r="AY140" s="36" t="s">
        <v>319</v>
      </c>
      <c r="AZ140" s="36" t="s">
        <v>279</v>
      </c>
      <c r="BA140" s="12" t="s">
        <v>69</v>
      </c>
      <c r="BC140" s="35">
        <f>AW140+AX140</f>
        <v>0</v>
      </c>
      <c r="BD140" s="35">
        <f>H140/(100-BE140)*100</f>
        <v>0</v>
      </c>
      <c r="BE140" s="35">
        <v>0</v>
      </c>
      <c r="BF140" s="35">
        <f>O140</f>
        <v>0.378</v>
      </c>
      <c r="BH140" s="35">
        <f>G140*AO140</f>
        <v>0</v>
      </c>
      <c r="BI140" s="35">
        <f>G140*AP140</f>
        <v>0</v>
      </c>
      <c r="BJ140" s="35">
        <f>G140*H140</f>
        <v>0</v>
      </c>
      <c r="BK140" s="35"/>
      <c r="BL140" s="35">
        <v>97</v>
      </c>
      <c r="BW140" s="35" t="str">
        <f>I140</f>
        <v>21</v>
      </c>
      <c r="BX140" s="4" t="s">
        <v>317</v>
      </c>
    </row>
    <row r="141" spans="1:76" ht="14.6" x14ac:dyDescent="0.4">
      <c r="A141" s="31" t="s">
        <v>56</v>
      </c>
      <c r="B141" s="32" t="s">
        <v>57</v>
      </c>
      <c r="C141" s="32" t="s">
        <v>320</v>
      </c>
      <c r="D141" s="89" t="s">
        <v>321</v>
      </c>
      <c r="E141" s="90"/>
      <c r="F141" s="33" t="s">
        <v>4</v>
      </c>
      <c r="G141" s="33" t="s">
        <v>4</v>
      </c>
      <c r="H141" s="33" t="s">
        <v>4</v>
      </c>
      <c r="I141" s="33" t="s">
        <v>4</v>
      </c>
      <c r="J141" s="1">
        <f>SUM(J142:J142)</f>
        <v>0</v>
      </c>
      <c r="K141" s="1">
        <f>SUM(K142:K142)</f>
        <v>0</v>
      </c>
      <c r="L141" s="1">
        <f>SUM(L142:L142)</f>
        <v>0</v>
      </c>
      <c r="M141" s="1">
        <f>SUM(M142:M142)</f>
        <v>0</v>
      </c>
      <c r="N141" s="12" t="s">
        <v>56</v>
      </c>
      <c r="O141" s="1">
        <f>SUM(O142:O142)</f>
        <v>0</v>
      </c>
      <c r="P141" s="34" t="s">
        <v>56</v>
      </c>
      <c r="AI141" s="12" t="s">
        <v>57</v>
      </c>
      <c r="AS141" s="1">
        <f>SUM(AJ142:AJ142)</f>
        <v>0</v>
      </c>
      <c r="AT141" s="1">
        <f>SUM(AK142:AK142)</f>
        <v>0</v>
      </c>
      <c r="AU141" s="1">
        <f>SUM(AL142:AL142)</f>
        <v>0</v>
      </c>
    </row>
    <row r="142" spans="1:76" ht="14.6" x14ac:dyDescent="0.4">
      <c r="A142" s="2" t="s">
        <v>322</v>
      </c>
      <c r="B142" s="3" t="s">
        <v>57</v>
      </c>
      <c r="C142" s="3" t="s">
        <v>323</v>
      </c>
      <c r="D142" s="84" t="s">
        <v>324</v>
      </c>
      <c r="E142" s="85"/>
      <c r="F142" s="3" t="s">
        <v>325</v>
      </c>
      <c r="G142" s="35">
        <v>348.4</v>
      </c>
      <c r="H142" s="82"/>
      <c r="I142" s="36" t="s">
        <v>65</v>
      </c>
      <c r="J142" s="35">
        <f>G142*AO142</f>
        <v>0</v>
      </c>
      <c r="K142" s="35">
        <f>G142*AP142</f>
        <v>0</v>
      </c>
      <c r="L142" s="35">
        <f>G142*H142</f>
        <v>0</v>
      </c>
      <c r="M142" s="35">
        <f>L142*(1+BW142/100)</f>
        <v>0</v>
      </c>
      <c r="N142" s="35">
        <v>0</v>
      </c>
      <c r="O142" s="35">
        <f>G142*N142</f>
        <v>0</v>
      </c>
      <c r="P142" s="37" t="s">
        <v>66</v>
      </c>
      <c r="Z142" s="35">
        <f>IF(AQ142="5",BJ142,0)</f>
        <v>0</v>
      </c>
      <c r="AB142" s="35">
        <f>IF(AQ142="1",BH142,0)</f>
        <v>0</v>
      </c>
      <c r="AC142" s="35">
        <f>IF(AQ142="1",BI142,0)</f>
        <v>0</v>
      </c>
      <c r="AD142" s="35">
        <f>IF(AQ142="7",BH142,0)</f>
        <v>0</v>
      </c>
      <c r="AE142" s="35">
        <f>IF(AQ142="7",BI142,0)</f>
        <v>0</v>
      </c>
      <c r="AF142" s="35">
        <f>IF(AQ142="2",BH142,0)</f>
        <v>0</v>
      </c>
      <c r="AG142" s="35">
        <f>IF(AQ142="2",BI142,0)</f>
        <v>0</v>
      </c>
      <c r="AH142" s="35">
        <f>IF(AQ142="0",BJ142,0)</f>
        <v>0</v>
      </c>
      <c r="AI142" s="12" t="s">
        <v>57</v>
      </c>
      <c r="AJ142" s="35">
        <f>IF(AN142=0,L142,0)</f>
        <v>0</v>
      </c>
      <c r="AK142" s="35">
        <f>IF(AN142=12,L142,0)</f>
        <v>0</v>
      </c>
      <c r="AL142" s="35">
        <f>IF(AN142=21,L142,0)</f>
        <v>0</v>
      </c>
      <c r="AN142" s="35">
        <v>21</v>
      </c>
      <c r="AO142" s="35">
        <f>H142*0</f>
        <v>0</v>
      </c>
      <c r="AP142" s="35">
        <f>H142*(1-0)</f>
        <v>0</v>
      </c>
      <c r="AQ142" s="36" t="s">
        <v>87</v>
      </c>
      <c r="AV142" s="35">
        <f>AW142+AX142</f>
        <v>0</v>
      </c>
      <c r="AW142" s="35">
        <f>G142*AO142</f>
        <v>0</v>
      </c>
      <c r="AX142" s="35">
        <f>G142*AP142</f>
        <v>0</v>
      </c>
      <c r="AY142" s="36" t="s">
        <v>326</v>
      </c>
      <c r="AZ142" s="36" t="s">
        <v>279</v>
      </c>
      <c r="BA142" s="12" t="s">
        <v>69</v>
      </c>
      <c r="BC142" s="35">
        <f>AW142+AX142</f>
        <v>0</v>
      </c>
      <c r="BD142" s="35">
        <f>H142/(100-BE142)*100</f>
        <v>0</v>
      </c>
      <c r="BE142" s="35">
        <v>0</v>
      </c>
      <c r="BF142" s="35">
        <f>O142</f>
        <v>0</v>
      </c>
      <c r="BH142" s="35">
        <f>G142*AO142</f>
        <v>0</v>
      </c>
      <c r="BI142" s="35">
        <f>G142*AP142</f>
        <v>0</v>
      </c>
      <c r="BJ142" s="35">
        <f>G142*H142</f>
        <v>0</v>
      </c>
      <c r="BK142" s="35"/>
      <c r="BL142" s="35"/>
      <c r="BW142" s="35" t="str">
        <f>I142</f>
        <v>21</v>
      </c>
      <c r="BX142" s="4" t="s">
        <v>324</v>
      </c>
    </row>
    <row r="143" spans="1:76" ht="14.6" x14ac:dyDescent="0.4">
      <c r="A143" s="38"/>
      <c r="D143" s="39" t="s">
        <v>327</v>
      </c>
      <c r="E143" s="40" t="s">
        <v>56</v>
      </c>
      <c r="G143" s="41">
        <v>348.4</v>
      </c>
      <c r="P143" s="42"/>
    </row>
    <row r="144" spans="1:76" ht="14.6" x14ac:dyDescent="0.4">
      <c r="A144" s="31" t="s">
        <v>56</v>
      </c>
      <c r="B144" s="32" t="s">
        <v>57</v>
      </c>
      <c r="C144" s="32" t="s">
        <v>328</v>
      </c>
      <c r="D144" s="89" t="s">
        <v>329</v>
      </c>
      <c r="E144" s="90"/>
      <c r="F144" s="33" t="s">
        <v>4</v>
      </c>
      <c r="G144" s="33" t="s">
        <v>4</v>
      </c>
      <c r="H144" s="33" t="s">
        <v>4</v>
      </c>
      <c r="I144" s="33" t="s">
        <v>4</v>
      </c>
      <c r="J144" s="1">
        <f>SUM(J145:J155)</f>
        <v>0</v>
      </c>
      <c r="K144" s="1">
        <f>SUM(K145:K155)</f>
        <v>0</v>
      </c>
      <c r="L144" s="1">
        <f>SUM(L145:L155)</f>
        <v>0</v>
      </c>
      <c r="M144" s="1">
        <f>SUM(M145:M155)</f>
        <v>0</v>
      </c>
      <c r="N144" s="12" t="s">
        <v>56</v>
      </c>
      <c r="O144" s="1">
        <f>SUM(O145:O155)</f>
        <v>0</v>
      </c>
      <c r="P144" s="34" t="s">
        <v>56</v>
      </c>
      <c r="AI144" s="12" t="s">
        <v>57</v>
      </c>
      <c r="AS144" s="1">
        <f>SUM(AJ145:AJ155)</f>
        <v>0</v>
      </c>
      <c r="AT144" s="1">
        <f>SUM(AK145:AK155)</f>
        <v>0</v>
      </c>
      <c r="AU144" s="1">
        <f>SUM(AL145:AL155)</f>
        <v>0</v>
      </c>
    </row>
    <row r="145" spans="1:76" ht="14.6" x14ac:dyDescent="0.4">
      <c r="A145" s="2" t="s">
        <v>330</v>
      </c>
      <c r="B145" s="3" t="s">
        <v>57</v>
      </c>
      <c r="C145" s="3" t="s">
        <v>331</v>
      </c>
      <c r="D145" s="84" t="s">
        <v>332</v>
      </c>
      <c r="E145" s="85"/>
      <c r="F145" s="3" t="s">
        <v>325</v>
      </c>
      <c r="G145" s="35">
        <v>91.4</v>
      </c>
      <c r="H145" s="82"/>
      <c r="I145" s="36" t="s">
        <v>65</v>
      </c>
      <c r="J145" s="35">
        <f>G145*AO145</f>
        <v>0</v>
      </c>
      <c r="K145" s="35">
        <f>G145*AP145</f>
        <v>0</v>
      </c>
      <c r="L145" s="35">
        <f>G145*H145</f>
        <v>0</v>
      </c>
      <c r="M145" s="35">
        <f>L145*(1+BW145/100)</f>
        <v>0</v>
      </c>
      <c r="N145" s="35">
        <v>0</v>
      </c>
      <c r="O145" s="35">
        <f>G145*N145</f>
        <v>0</v>
      </c>
      <c r="P145" s="37" t="s">
        <v>66</v>
      </c>
      <c r="Z145" s="35">
        <f>IF(AQ145="5",BJ145,0)</f>
        <v>0</v>
      </c>
      <c r="AB145" s="35">
        <f>IF(AQ145="1",BH145,0)</f>
        <v>0</v>
      </c>
      <c r="AC145" s="35">
        <f>IF(AQ145="1",BI145,0)</f>
        <v>0</v>
      </c>
      <c r="AD145" s="35">
        <f>IF(AQ145="7",BH145,0)</f>
        <v>0</v>
      </c>
      <c r="AE145" s="35">
        <f>IF(AQ145="7",BI145,0)</f>
        <v>0</v>
      </c>
      <c r="AF145" s="35">
        <f>IF(AQ145="2",BH145,0)</f>
        <v>0</v>
      </c>
      <c r="AG145" s="35">
        <f>IF(AQ145="2",BI145,0)</f>
        <v>0</v>
      </c>
      <c r="AH145" s="35">
        <f>IF(AQ145="0",BJ145,0)</f>
        <v>0</v>
      </c>
      <c r="AI145" s="12" t="s">
        <v>57</v>
      </c>
      <c r="AJ145" s="35">
        <f>IF(AN145=0,L145,0)</f>
        <v>0</v>
      </c>
      <c r="AK145" s="35">
        <f>IF(AN145=12,L145,0)</f>
        <v>0</v>
      </c>
      <c r="AL145" s="35">
        <f>IF(AN145=21,L145,0)</f>
        <v>0</v>
      </c>
      <c r="AN145" s="35">
        <v>21</v>
      </c>
      <c r="AO145" s="35">
        <f>H145*0</f>
        <v>0</v>
      </c>
      <c r="AP145" s="35">
        <f>H145*(1-0)</f>
        <v>0</v>
      </c>
      <c r="AQ145" s="36" t="s">
        <v>87</v>
      </c>
      <c r="AV145" s="35">
        <f>AW145+AX145</f>
        <v>0</v>
      </c>
      <c r="AW145" s="35">
        <f>G145*AO145</f>
        <v>0</v>
      </c>
      <c r="AX145" s="35">
        <f>G145*AP145</f>
        <v>0</v>
      </c>
      <c r="AY145" s="36" t="s">
        <v>333</v>
      </c>
      <c r="AZ145" s="36" t="s">
        <v>279</v>
      </c>
      <c r="BA145" s="12" t="s">
        <v>69</v>
      </c>
      <c r="BC145" s="35">
        <f>AW145+AX145</f>
        <v>0</v>
      </c>
      <c r="BD145" s="35">
        <f>H145/(100-BE145)*100</f>
        <v>0</v>
      </c>
      <c r="BE145" s="35">
        <v>0</v>
      </c>
      <c r="BF145" s="35">
        <f>O145</f>
        <v>0</v>
      </c>
      <c r="BH145" s="35">
        <f>G145*AO145</f>
        <v>0</v>
      </c>
      <c r="BI145" s="35">
        <f>G145*AP145</f>
        <v>0</v>
      </c>
      <c r="BJ145" s="35">
        <f>G145*H145</f>
        <v>0</v>
      </c>
      <c r="BK145" s="35"/>
      <c r="BL145" s="35"/>
      <c r="BW145" s="35" t="str">
        <f>I145</f>
        <v>21</v>
      </c>
      <c r="BX145" s="4" t="s">
        <v>332</v>
      </c>
    </row>
    <row r="146" spans="1:76" ht="14.6" x14ac:dyDescent="0.4">
      <c r="A146" s="38"/>
      <c r="D146" s="39" t="s">
        <v>334</v>
      </c>
      <c r="E146" s="40" t="s">
        <v>56</v>
      </c>
      <c r="G146" s="41">
        <v>91.4</v>
      </c>
      <c r="P146" s="42"/>
    </row>
    <row r="147" spans="1:76" ht="14.6" x14ac:dyDescent="0.4">
      <c r="A147" s="2" t="s">
        <v>335</v>
      </c>
      <c r="B147" s="3" t="s">
        <v>57</v>
      </c>
      <c r="C147" s="3" t="s">
        <v>336</v>
      </c>
      <c r="D147" s="84" t="s">
        <v>337</v>
      </c>
      <c r="E147" s="85"/>
      <c r="F147" s="3" t="s">
        <v>325</v>
      </c>
      <c r="G147" s="35">
        <v>822.6</v>
      </c>
      <c r="H147" s="82"/>
      <c r="I147" s="36" t="s">
        <v>65</v>
      </c>
      <c r="J147" s="35">
        <f>G147*AO147</f>
        <v>0</v>
      </c>
      <c r="K147" s="35">
        <f>G147*AP147</f>
        <v>0</v>
      </c>
      <c r="L147" s="35">
        <f>G147*H147</f>
        <v>0</v>
      </c>
      <c r="M147" s="35">
        <f>L147*(1+BW147/100)</f>
        <v>0</v>
      </c>
      <c r="N147" s="35">
        <v>0</v>
      </c>
      <c r="O147" s="35">
        <f>G147*N147</f>
        <v>0</v>
      </c>
      <c r="P147" s="37" t="s">
        <v>66</v>
      </c>
      <c r="Z147" s="35">
        <f>IF(AQ147="5",BJ147,0)</f>
        <v>0</v>
      </c>
      <c r="AB147" s="35">
        <f>IF(AQ147="1",BH147,0)</f>
        <v>0</v>
      </c>
      <c r="AC147" s="35">
        <f>IF(AQ147="1",BI147,0)</f>
        <v>0</v>
      </c>
      <c r="AD147" s="35">
        <f>IF(AQ147="7",BH147,0)</f>
        <v>0</v>
      </c>
      <c r="AE147" s="35">
        <f>IF(AQ147="7",BI147,0)</f>
        <v>0</v>
      </c>
      <c r="AF147" s="35">
        <f>IF(AQ147="2",BH147,0)</f>
        <v>0</v>
      </c>
      <c r="AG147" s="35">
        <f>IF(AQ147="2",BI147,0)</f>
        <v>0</v>
      </c>
      <c r="AH147" s="35">
        <f>IF(AQ147="0",BJ147,0)</f>
        <v>0</v>
      </c>
      <c r="AI147" s="12" t="s">
        <v>57</v>
      </c>
      <c r="AJ147" s="35">
        <f>IF(AN147=0,L147,0)</f>
        <v>0</v>
      </c>
      <c r="AK147" s="35">
        <f>IF(AN147=12,L147,0)</f>
        <v>0</v>
      </c>
      <c r="AL147" s="35">
        <f>IF(AN147=21,L147,0)</f>
        <v>0</v>
      </c>
      <c r="AN147" s="35">
        <v>21</v>
      </c>
      <c r="AO147" s="35">
        <f>H147*0</f>
        <v>0</v>
      </c>
      <c r="AP147" s="35">
        <f>H147*(1-0)</f>
        <v>0</v>
      </c>
      <c r="AQ147" s="36" t="s">
        <v>87</v>
      </c>
      <c r="AV147" s="35">
        <f>AW147+AX147</f>
        <v>0</v>
      </c>
      <c r="AW147" s="35">
        <f>G147*AO147</f>
        <v>0</v>
      </c>
      <c r="AX147" s="35">
        <f>G147*AP147</f>
        <v>0</v>
      </c>
      <c r="AY147" s="36" t="s">
        <v>333</v>
      </c>
      <c r="AZ147" s="36" t="s">
        <v>279</v>
      </c>
      <c r="BA147" s="12" t="s">
        <v>69</v>
      </c>
      <c r="BC147" s="35">
        <f>AW147+AX147</f>
        <v>0</v>
      </c>
      <c r="BD147" s="35">
        <f>H147/(100-BE147)*100</f>
        <v>0</v>
      </c>
      <c r="BE147" s="35">
        <v>0</v>
      </c>
      <c r="BF147" s="35">
        <f>O147</f>
        <v>0</v>
      </c>
      <c r="BH147" s="35">
        <f>G147*AO147</f>
        <v>0</v>
      </c>
      <c r="BI147" s="35">
        <f>G147*AP147</f>
        <v>0</v>
      </c>
      <c r="BJ147" s="35">
        <f>G147*H147</f>
        <v>0</v>
      </c>
      <c r="BK147" s="35"/>
      <c r="BL147" s="35"/>
      <c r="BW147" s="35" t="str">
        <f>I147</f>
        <v>21</v>
      </c>
      <c r="BX147" s="4" t="s">
        <v>337</v>
      </c>
    </row>
    <row r="148" spans="1:76" ht="14.6" x14ac:dyDescent="0.4">
      <c r="A148" s="38"/>
      <c r="D148" s="39" t="s">
        <v>338</v>
      </c>
      <c r="E148" s="40" t="s">
        <v>56</v>
      </c>
      <c r="G148" s="41">
        <v>822.6</v>
      </c>
      <c r="P148" s="42"/>
    </row>
    <row r="149" spans="1:76" ht="13.5" customHeight="1" x14ac:dyDescent="0.4">
      <c r="A149" s="38"/>
      <c r="C149" s="44" t="s">
        <v>85</v>
      </c>
      <c r="D149" s="86" t="s">
        <v>339</v>
      </c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8"/>
    </row>
    <row r="150" spans="1:76" ht="14.6" x14ac:dyDescent="0.4">
      <c r="A150" s="2" t="s">
        <v>172</v>
      </c>
      <c r="B150" s="3" t="s">
        <v>57</v>
      </c>
      <c r="C150" s="3" t="s">
        <v>340</v>
      </c>
      <c r="D150" s="84" t="s">
        <v>341</v>
      </c>
      <c r="E150" s="85"/>
      <c r="F150" s="3" t="s">
        <v>325</v>
      </c>
      <c r="G150" s="35">
        <v>2.6</v>
      </c>
      <c r="H150" s="82"/>
      <c r="I150" s="36" t="s">
        <v>65</v>
      </c>
      <c r="J150" s="35">
        <f>G150*AO150</f>
        <v>0</v>
      </c>
      <c r="K150" s="35">
        <f>G150*AP150</f>
        <v>0</v>
      </c>
      <c r="L150" s="35">
        <f>G150*H150</f>
        <v>0</v>
      </c>
      <c r="M150" s="35">
        <f>L150*(1+BW150/100)</f>
        <v>0</v>
      </c>
      <c r="N150" s="35">
        <v>0</v>
      </c>
      <c r="O150" s="35">
        <f>G150*N150</f>
        <v>0</v>
      </c>
      <c r="P150" s="37" t="s">
        <v>66</v>
      </c>
      <c r="Z150" s="35">
        <f>IF(AQ150="5",BJ150,0)</f>
        <v>0</v>
      </c>
      <c r="AB150" s="35">
        <f>IF(AQ150="1",BH150,0)</f>
        <v>0</v>
      </c>
      <c r="AC150" s="35">
        <f>IF(AQ150="1",BI150,0)</f>
        <v>0</v>
      </c>
      <c r="AD150" s="35">
        <f>IF(AQ150="7",BH150,0)</f>
        <v>0</v>
      </c>
      <c r="AE150" s="35">
        <f>IF(AQ150="7",BI150,0)</f>
        <v>0</v>
      </c>
      <c r="AF150" s="35">
        <f>IF(AQ150="2",BH150,0)</f>
        <v>0</v>
      </c>
      <c r="AG150" s="35">
        <f>IF(AQ150="2",BI150,0)</f>
        <v>0</v>
      </c>
      <c r="AH150" s="35">
        <f>IF(AQ150="0",BJ150,0)</f>
        <v>0</v>
      </c>
      <c r="AI150" s="12" t="s">
        <v>57</v>
      </c>
      <c r="AJ150" s="35">
        <f>IF(AN150=0,L150,0)</f>
        <v>0</v>
      </c>
      <c r="AK150" s="35">
        <f>IF(AN150=12,L150,0)</f>
        <v>0</v>
      </c>
      <c r="AL150" s="35">
        <f>IF(AN150=21,L150,0)</f>
        <v>0</v>
      </c>
      <c r="AN150" s="35">
        <v>21</v>
      </c>
      <c r="AO150" s="35">
        <f>H150*0</f>
        <v>0</v>
      </c>
      <c r="AP150" s="35">
        <f>H150*(1-0)</f>
        <v>0</v>
      </c>
      <c r="AQ150" s="36" t="s">
        <v>87</v>
      </c>
      <c r="AV150" s="35">
        <f>AW150+AX150</f>
        <v>0</v>
      </c>
      <c r="AW150" s="35">
        <f>G150*AO150</f>
        <v>0</v>
      </c>
      <c r="AX150" s="35">
        <f>G150*AP150</f>
        <v>0</v>
      </c>
      <c r="AY150" s="36" t="s">
        <v>333</v>
      </c>
      <c r="AZ150" s="36" t="s">
        <v>279</v>
      </c>
      <c r="BA150" s="12" t="s">
        <v>69</v>
      </c>
      <c r="BC150" s="35">
        <f>AW150+AX150</f>
        <v>0</v>
      </c>
      <c r="BD150" s="35">
        <f>H150/(100-BE150)*100</f>
        <v>0</v>
      </c>
      <c r="BE150" s="35">
        <v>0</v>
      </c>
      <c r="BF150" s="35">
        <f>O150</f>
        <v>0</v>
      </c>
      <c r="BH150" s="35">
        <f>G150*AO150</f>
        <v>0</v>
      </c>
      <c r="BI150" s="35">
        <f>G150*AP150</f>
        <v>0</v>
      </c>
      <c r="BJ150" s="35">
        <f>G150*H150</f>
        <v>0</v>
      </c>
      <c r="BK150" s="35"/>
      <c r="BL150" s="35"/>
      <c r="BW150" s="35" t="str">
        <f>I150</f>
        <v>21</v>
      </c>
      <c r="BX150" s="4" t="s">
        <v>341</v>
      </c>
    </row>
    <row r="151" spans="1:76" ht="13.5" customHeight="1" x14ac:dyDescent="0.4">
      <c r="A151" s="38"/>
      <c r="C151" s="44" t="s">
        <v>85</v>
      </c>
      <c r="D151" s="86" t="s">
        <v>342</v>
      </c>
      <c r="E151" s="87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8"/>
    </row>
    <row r="152" spans="1:76" ht="14.6" x14ac:dyDescent="0.4">
      <c r="A152" s="2" t="s">
        <v>197</v>
      </c>
      <c r="B152" s="3" t="s">
        <v>57</v>
      </c>
      <c r="C152" s="3" t="s">
        <v>343</v>
      </c>
      <c r="D152" s="84" t="s">
        <v>344</v>
      </c>
      <c r="E152" s="85"/>
      <c r="F152" s="3" t="s">
        <v>325</v>
      </c>
      <c r="G152" s="35">
        <v>2.6</v>
      </c>
      <c r="H152" s="82"/>
      <c r="I152" s="36" t="s">
        <v>65</v>
      </c>
      <c r="J152" s="35">
        <f>G152*AO152</f>
        <v>0</v>
      </c>
      <c r="K152" s="35">
        <f>G152*AP152</f>
        <v>0</v>
      </c>
      <c r="L152" s="35">
        <f>G152*H152</f>
        <v>0</v>
      </c>
      <c r="M152" s="35">
        <f>L152*(1+BW152/100)</f>
        <v>0</v>
      </c>
      <c r="N152" s="35">
        <v>0</v>
      </c>
      <c r="O152" s="35">
        <f>G152*N152</f>
        <v>0</v>
      </c>
      <c r="P152" s="37" t="s">
        <v>66</v>
      </c>
      <c r="Z152" s="35">
        <f>IF(AQ152="5",BJ152,0)</f>
        <v>0</v>
      </c>
      <c r="AB152" s="35">
        <f>IF(AQ152="1",BH152,0)</f>
        <v>0</v>
      </c>
      <c r="AC152" s="35">
        <f>IF(AQ152="1",BI152,0)</f>
        <v>0</v>
      </c>
      <c r="AD152" s="35">
        <f>IF(AQ152="7",BH152,0)</f>
        <v>0</v>
      </c>
      <c r="AE152" s="35">
        <f>IF(AQ152="7",BI152,0)</f>
        <v>0</v>
      </c>
      <c r="AF152" s="35">
        <f>IF(AQ152="2",BH152,0)</f>
        <v>0</v>
      </c>
      <c r="AG152" s="35">
        <f>IF(AQ152="2",BI152,0)</f>
        <v>0</v>
      </c>
      <c r="AH152" s="35">
        <f>IF(AQ152="0",BJ152,0)</f>
        <v>0</v>
      </c>
      <c r="AI152" s="12" t="s">
        <v>57</v>
      </c>
      <c r="AJ152" s="35">
        <f>IF(AN152=0,L152,0)</f>
        <v>0</v>
      </c>
      <c r="AK152" s="35">
        <f>IF(AN152=12,L152,0)</f>
        <v>0</v>
      </c>
      <c r="AL152" s="35">
        <f>IF(AN152=21,L152,0)</f>
        <v>0</v>
      </c>
      <c r="AN152" s="35">
        <v>21</v>
      </c>
      <c r="AO152" s="35">
        <f>H152*0</f>
        <v>0</v>
      </c>
      <c r="AP152" s="35">
        <f>H152*(1-0)</f>
        <v>0</v>
      </c>
      <c r="AQ152" s="36" t="s">
        <v>87</v>
      </c>
      <c r="AV152" s="35">
        <f>AW152+AX152</f>
        <v>0</v>
      </c>
      <c r="AW152" s="35">
        <f>G152*AO152</f>
        <v>0</v>
      </c>
      <c r="AX152" s="35">
        <f>G152*AP152</f>
        <v>0</v>
      </c>
      <c r="AY152" s="36" t="s">
        <v>333</v>
      </c>
      <c r="AZ152" s="36" t="s">
        <v>279</v>
      </c>
      <c r="BA152" s="12" t="s">
        <v>69</v>
      </c>
      <c r="BC152" s="35">
        <f>AW152+AX152</f>
        <v>0</v>
      </c>
      <c r="BD152" s="35">
        <f>H152/(100-BE152)*100</f>
        <v>0</v>
      </c>
      <c r="BE152" s="35">
        <v>0</v>
      </c>
      <c r="BF152" s="35">
        <f>O152</f>
        <v>0</v>
      </c>
      <c r="BH152" s="35">
        <f>G152*AO152</f>
        <v>0</v>
      </c>
      <c r="BI152" s="35">
        <f>G152*AP152</f>
        <v>0</v>
      </c>
      <c r="BJ152" s="35">
        <f>G152*H152</f>
        <v>0</v>
      </c>
      <c r="BK152" s="35"/>
      <c r="BL152" s="35"/>
      <c r="BW152" s="35" t="str">
        <f>I152</f>
        <v>21</v>
      </c>
      <c r="BX152" s="4" t="s">
        <v>344</v>
      </c>
    </row>
    <row r="153" spans="1:76" ht="14.6" x14ac:dyDescent="0.4">
      <c r="A153" s="2" t="s">
        <v>345</v>
      </c>
      <c r="B153" s="3" t="s">
        <v>57</v>
      </c>
      <c r="C153" s="3" t="s">
        <v>346</v>
      </c>
      <c r="D153" s="84" t="s">
        <v>347</v>
      </c>
      <c r="E153" s="85"/>
      <c r="F153" s="3" t="s">
        <v>325</v>
      </c>
      <c r="G153" s="35">
        <v>2.6</v>
      </c>
      <c r="H153" s="82"/>
      <c r="I153" s="36" t="s">
        <v>65</v>
      </c>
      <c r="J153" s="35">
        <f>G153*AO153</f>
        <v>0</v>
      </c>
      <c r="K153" s="35">
        <f>G153*AP153</f>
        <v>0</v>
      </c>
      <c r="L153" s="35">
        <f>G153*H153</f>
        <v>0</v>
      </c>
      <c r="M153" s="35">
        <f>L153*(1+BW153/100)</f>
        <v>0</v>
      </c>
      <c r="N153" s="35">
        <v>0</v>
      </c>
      <c r="O153" s="35">
        <f>G153*N153</f>
        <v>0</v>
      </c>
      <c r="P153" s="37" t="s">
        <v>66</v>
      </c>
      <c r="Z153" s="35">
        <f>IF(AQ153="5",BJ153,0)</f>
        <v>0</v>
      </c>
      <c r="AB153" s="35">
        <f>IF(AQ153="1",BH153,0)</f>
        <v>0</v>
      </c>
      <c r="AC153" s="35">
        <f>IF(AQ153="1",BI153,0)</f>
        <v>0</v>
      </c>
      <c r="AD153" s="35">
        <f>IF(AQ153="7",BH153,0)</f>
        <v>0</v>
      </c>
      <c r="AE153" s="35">
        <f>IF(AQ153="7",BI153,0)</f>
        <v>0</v>
      </c>
      <c r="AF153" s="35">
        <f>IF(AQ153="2",BH153,0)</f>
        <v>0</v>
      </c>
      <c r="AG153" s="35">
        <f>IF(AQ153="2",BI153,0)</f>
        <v>0</v>
      </c>
      <c r="AH153" s="35">
        <f>IF(AQ153="0",BJ153,0)</f>
        <v>0</v>
      </c>
      <c r="AI153" s="12" t="s">
        <v>57</v>
      </c>
      <c r="AJ153" s="35">
        <f>IF(AN153=0,L153,0)</f>
        <v>0</v>
      </c>
      <c r="AK153" s="35">
        <f>IF(AN153=12,L153,0)</f>
        <v>0</v>
      </c>
      <c r="AL153" s="35">
        <f>IF(AN153=21,L153,0)</f>
        <v>0</v>
      </c>
      <c r="AN153" s="35">
        <v>21</v>
      </c>
      <c r="AO153" s="35">
        <f>H153*0</f>
        <v>0</v>
      </c>
      <c r="AP153" s="35">
        <f>H153*(1-0)</f>
        <v>0</v>
      </c>
      <c r="AQ153" s="36" t="s">
        <v>87</v>
      </c>
      <c r="AV153" s="35">
        <f>AW153+AX153</f>
        <v>0</v>
      </c>
      <c r="AW153" s="35">
        <f>G153*AO153</f>
        <v>0</v>
      </c>
      <c r="AX153" s="35">
        <f>G153*AP153</f>
        <v>0</v>
      </c>
      <c r="AY153" s="36" t="s">
        <v>333</v>
      </c>
      <c r="AZ153" s="36" t="s">
        <v>279</v>
      </c>
      <c r="BA153" s="12" t="s">
        <v>69</v>
      </c>
      <c r="BC153" s="35">
        <f>AW153+AX153</f>
        <v>0</v>
      </c>
      <c r="BD153" s="35">
        <f>H153/(100-BE153)*100</f>
        <v>0</v>
      </c>
      <c r="BE153" s="35">
        <v>0</v>
      </c>
      <c r="BF153" s="35">
        <f>O153</f>
        <v>0</v>
      </c>
      <c r="BH153" s="35">
        <f>G153*AO153</f>
        <v>0</v>
      </c>
      <c r="BI153" s="35">
        <f>G153*AP153</f>
        <v>0</v>
      </c>
      <c r="BJ153" s="35">
        <f>G153*H153</f>
        <v>0</v>
      </c>
      <c r="BK153" s="35"/>
      <c r="BL153" s="35"/>
      <c r="BW153" s="35" t="str">
        <f>I153</f>
        <v>21</v>
      </c>
      <c r="BX153" s="4" t="s">
        <v>347</v>
      </c>
    </row>
    <row r="154" spans="1:76" ht="13.5" customHeight="1" x14ac:dyDescent="0.4">
      <c r="A154" s="38"/>
      <c r="C154" s="43" t="s">
        <v>82</v>
      </c>
      <c r="D154" s="94" t="s">
        <v>348</v>
      </c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6"/>
    </row>
    <row r="155" spans="1:76" ht="14.6" x14ac:dyDescent="0.4">
      <c r="A155" s="2" t="s">
        <v>219</v>
      </c>
      <c r="B155" s="3" t="s">
        <v>57</v>
      </c>
      <c r="C155" s="3" t="s">
        <v>349</v>
      </c>
      <c r="D155" s="84" t="s">
        <v>350</v>
      </c>
      <c r="E155" s="85"/>
      <c r="F155" s="3" t="s">
        <v>325</v>
      </c>
      <c r="G155" s="35">
        <v>91.4</v>
      </c>
      <c r="H155" s="82"/>
      <c r="I155" s="36" t="s">
        <v>65</v>
      </c>
      <c r="J155" s="35">
        <f>G155*AO155</f>
        <v>0</v>
      </c>
      <c r="K155" s="35">
        <f>G155*AP155</f>
        <v>0</v>
      </c>
      <c r="L155" s="35">
        <f>G155*H155</f>
        <v>0</v>
      </c>
      <c r="M155" s="35">
        <f>L155*(1+BW155/100)</f>
        <v>0</v>
      </c>
      <c r="N155" s="35">
        <v>0</v>
      </c>
      <c r="O155" s="35">
        <f>G155*N155</f>
        <v>0</v>
      </c>
      <c r="P155" s="37" t="s">
        <v>66</v>
      </c>
      <c r="Z155" s="35">
        <f>IF(AQ155="5",BJ155,0)</f>
        <v>0</v>
      </c>
      <c r="AB155" s="35">
        <f>IF(AQ155="1",BH155,0)</f>
        <v>0</v>
      </c>
      <c r="AC155" s="35">
        <f>IF(AQ155="1",BI155,0)</f>
        <v>0</v>
      </c>
      <c r="AD155" s="35">
        <f>IF(AQ155="7",BH155,0)</f>
        <v>0</v>
      </c>
      <c r="AE155" s="35">
        <f>IF(AQ155="7",BI155,0)</f>
        <v>0</v>
      </c>
      <c r="AF155" s="35">
        <f>IF(AQ155="2",BH155,0)</f>
        <v>0</v>
      </c>
      <c r="AG155" s="35">
        <f>IF(AQ155="2",BI155,0)</f>
        <v>0</v>
      </c>
      <c r="AH155" s="35">
        <f>IF(AQ155="0",BJ155,0)</f>
        <v>0</v>
      </c>
      <c r="AI155" s="12" t="s">
        <v>57</v>
      </c>
      <c r="AJ155" s="35">
        <f>IF(AN155=0,L155,0)</f>
        <v>0</v>
      </c>
      <c r="AK155" s="35">
        <f>IF(AN155=12,L155,0)</f>
        <v>0</v>
      </c>
      <c r="AL155" s="35">
        <f>IF(AN155=21,L155,0)</f>
        <v>0</v>
      </c>
      <c r="AN155" s="35">
        <v>21</v>
      </c>
      <c r="AO155" s="35">
        <f>H155*0</f>
        <v>0</v>
      </c>
      <c r="AP155" s="35">
        <f>H155*(1-0)</f>
        <v>0</v>
      </c>
      <c r="AQ155" s="36" t="s">
        <v>87</v>
      </c>
      <c r="AV155" s="35">
        <f>AW155+AX155</f>
        <v>0</v>
      </c>
      <c r="AW155" s="35">
        <f>G155*AO155</f>
        <v>0</v>
      </c>
      <c r="AX155" s="35">
        <f>G155*AP155</f>
        <v>0</v>
      </c>
      <c r="AY155" s="36" t="s">
        <v>333</v>
      </c>
      <c r="AZ155" s="36" t="s">
        <v>279</v>
      </c>
      <c r="BA155" s="12" t="s">
        <v>69</v>
      </c>
      <c r="BC155" s="35">
        <f>AW155+AX155</f>
        <v>0</v>
      </c>
      <c r="BD155" s="35">
        <f>H155/(100-BE155)*100</f>
        <v>0</v>
      </c>
      <c r="BE155" s="35">
        <v>0</v>
      </c>
      <c r="BF155" s="35">
        <f>O155</f>
        <v>0</v>
      </c>
      <c r="BH155" s="35">
        <f>G155*AO155</f>
        <v>0</v>
      </c>
      <c r="BI155" s="35">
        <f>G155*AP155</f>
        <v>0</v>
      </c>
      <c r="BJ155" s="35">
        <f>G155*H155</f>
        <v>0</v>
      </c>
      <c r="BK155" s="35"/>
      <c r="BL155" s="35"/>
      <c r="BW155" s="35" t="str">
        <f>I155</f>
        <v>21</v>
      </c>
      <c r="BX155" s="4" t="s">
        <v>350</v>
      </c>
    </row>
    <row r="156" spans="1:76" ht="14.6" x14ac:dyDescent="0.4">
      <c r="A156" s="31" t="s">
        <v>56</v>
      </c>
      <c r="B156" s="32" t="s">
        <v>57</v>
      </c>
      <c r="C156" s="32" t="s">
        <v>351</v>
      </c>
      <c r="D156" s="89" t="s">
        <v>352</v>
      </c>
      <c r="E156" s="90"/>
      <c r="F156" s="33" t="s">
        <v>4</v>
      </c>
      <c r="G156" s="33" t="s">
        <v>4</v>
      </c>
      <c r="H156" s="33" t="s">
        <v>4</v>
      </c>
      <c r="I156" s="33" t="s">
        <v>4</v>
      </c>
      <c r="J156" s="1">
        <f>SUM(J157:J168)</f>
        <v>0</v>
      </c>
      <c r="K156" s="1">
        <f>SUM(K157:K168)</f>
        <v>0</v>
      </c>
      <c r="L156" s="1">
        <f>SUM(L157:L168)</f>
        <v>0</v>
      </c>
      <c r="M156" s="1">
        <f>SUM(M157:M168)</f>
        <v>0</v>
      </c>
      <c r="N156" s="12" t="s">
        <v>56</v>
      </c>
      <c r="O156" s="1">
        <f>SUM(O157:O168)</f>
        <v>19.792810000000006</v>
      </c>
      <c r="P156" s="34" t="s">
        <v>56</v>
      </c>
      <c r="AI156" s="12" t="s">
        <v>57</v>
      </c>
      <c r="AS156" s="1">
        <f>SUM(AJ157:AJ168)</f>
        <v>0</v>
      </c>
      <c r="AT156" s="1">
        <f>SUM(AK157:AK168)</f>
        <v>0</v>
      </c>
      <c r="AU156" s="1">
        <f>SUM(AL157:AL168)</f>
        <v>0</v>
      </c>
    </row>
    <row r="157" spans="1:76" ht="14.6" x14ac:dyDescent="0.4">
      <c r="A157" s="2" t="s">
        <v>353</v>
      </c>
      <c r="B157" s="3" t="s">
        <v>57</v>
      </c>
      <c r="C157" s="3" t="s">
        <v>354</v>
      </c>
      <c r="D157" s="84" t="s">
        <v>355</v>
      </c>
      <c r="E157" s="85"/>
      <c r="F157" s="3" t="s">
        <v>356</v>
      </c>
      <c r="G157" s="35">
        <v>9.4499999999999993</v>
      </c>
      <c r="H157" s="82"/>
      <c r="I157" s="36" t="s">
        <v>65</v>
      </c>
      <c r="J157" s="35">
        <f>G157*AO157</f>
        <v>0</v>
      </c>
      <c r="K157" s="35">
        <f>G157*AP157</f>
        <v>0</v>
      </c>
      <c r="L157" s="35">
        <f>G157*H157</f>
        <v>0</v>
      </c>
      <c r="M157" s="35">
        <f>L157*(1+BW157/100)</f>
        <v>0</v>
      </c>
      <c r="N157" s="35">
        <v>1E-3</v>
      </c>
      <c r="O157" s="35">
        <f>G157*N157</f>
        <v>9.4500000000000001E-3</v>
      </c>
      <c r="P157" s="37" t="s">
        <v>66</v>
      </c>
      <c r="Z157" s="35">
        <f>IF(AQ157="5",BJ157,0)</f>
        <v>0</v>
      </c>
      <c r="AB157" s="35">
        <f>IF(AQ157="1",BH157,0)</f>
        <v>0</v>
      </c>
      <c r="AC157" s="35">
        <f>IF(AQ157="1",BI157,0)</f>
        <v>0</v>
      </c>
      <c r="AD157" s="35">
        <f>IF(AQ157="7",BH157,0)</f>
        <v>0</v>
      </c>
      <c r="AE157" s="35">
        <f>IF(AQ157="7",BI157,0)</f>
        <v>0</v>
      </c>
      <c r="AF157" s="35">
        <f>IF(AQ157="2",BH157,0)</f>
        <v>0</v>
      </c>
      <c r="AG157" s="35">
        <f>IF(AQ157="2",BI157,0)</f>
        <v>0</v>
      </c>
      <c r="AH157" s="35">
        <f>IF(AQ157="0",BJ157,0)</f>
        <v>0</v>
      </c>
      <c r="AI157" s="12" t="s">
        <v>57</v>
      </c>
      <c r="AJ157" s="35">
        <f>IF(AN157=0,L157,0)</f>
        <v>0</v>
      </c>
      <c r="AK157" s="35">
        <f>IF(AN157=12,L157,0)</f>
        <v>0</v>
      </c>
      <c r="AL157" s="35">
        <f>IF(AN157=21,L157,0)</f>
        <v>0</v>
      </c>
      <c r="AN157" s="35">
        <v>21</v>
      </c>
      <c r="AO157" s="35">
        <f>H157*1</f>
        <v>0</v>
      </c>
      <c r="AP157" s="35">
        <f>H157*(1-1)</f>
        <v>0</v>
      </c>
      <c r="AQ157" s="36" t="s">
        <v>357</v>
      </c>
      <c r="AV157" s="35">
        <f>AW157+AX157</f>
        <v>0</v>
      </c>
      <c r="AW157" s="35">
        <f>G157*AO157</f>
        <v>0</v>
      </c>
      <c r="AX157" s="35">
        <f>G157*AP157</f>
        <v>0</v>
      </c>
      <c r="AY157" s="36" t="s">
        <v>358</v>
      </c>
      <c r="AZ157" s="36" t="s">
        <v>359</v>
      </c>
      <c r="BA157" s="12" t="s">
        <v>69</v>
      </c>
      <c r="BC157" s="35">
        <f>AW157+AX157</f>
        <v>0</v>
      </c>
      <c r="BD157" s="35">
        <f>H157/(100-BE157)*100</f>
        <v>0</v>
      </c>
      <c r="BE157" s="35">
        <v>0</v>
      </c>
      <c r="BF157" s="35">
        <f>O157</f>
        <v>9.4500000000000001E-3</v>
      </c>
      <c r="BH157" s="35">
        <f>G157*AO157</f>
        <v>0</v>
      </c>
      <c r="BI157" s="35">
        <f>G157*AP157</f>
        <v>0</v>
      </c>
      <c r="BJ157" s="35">
        <f>G157*H157</f>
        <v>0</v>
      </c>
      <c r="BK157" s="35"/>
      <c r="BL157" s="35"/>
      <c r="BW157" s="35" t="str">
        <f>I157</f>
        <v>21</v>
      </c>
      <c r="BX157" s="4" t="s">
        <v>355</v>
      </c>
    </row>
    <row r="158" spans="1:76" ht="14.6" x14ac:dyDescent="0.4">
      <c r="A158" s="38"/>
      <c r="D158" s="39" t="s">
        <v>360</v>
      </c>
      <c r="E158" s="40" t="s">
        <v>56</v>
      </c>
      <c r="G158" s="41">
        <v>9.4499999999999993</v>
      </c>
      <c r="P158" s="42"/>
    </row>
    <row r="159" spans="1:76" ht="24.9" x14ac:dyDescent="0.4">
      <c r="A159" s="2" t="s">
        <v>361</v>
      </c>
      <c r="B159" s="3" t="s">
        <v>57</v>
      </c>
      <c r="C159" s="3" t="s">
        <v>362</v>
      </c>
      <c r="D159" s="84" t="s">
        <v>363</v>
      </c>
      <c r="E159" s="85"/>
      <c r="F159" s="3" t="s">
        <v>98</v>
      </c>
      <c r="G159" s="35">
        <v>278.36</v>
      </c>
      <c r="H159" s="35">
        <v>0</v>
      </c>
      <c r="I159" s="36" t="s">
        <v>65</v>
      </c>
      <c r="J159" s="35">
        <f>G159*AO159</f>
        <v>0</v>
      </c>
      <c r="K159" s="35">
        <f>G159*AP159</f>
        <v>0</v>
      </c>
      <c r="L159" s="35">
        <f>G159*H159</f>
        <v>0</v>
      </c>
      <c r="M159" s="35">
        <f>L159*(1+BW159/100)</f>
        <v>0</v>
      </c>
      <c r="N159" s="35">
        <v>6.5000000000000002E-2</v>
      </c>
      <c r="O159" s="35">
        <f>G159*N159</f>
        <v>18.093400000000003</v>
      </c>
      <c r="P159" s="37" t="s">
        <v>364</v>
      </c>
      <c r="Z159" s="35">
        <f>IF(AQ159="5",BJ159,0)</f>
        <v>0</v>
      </c>
      <c r="AB159" s="35">
        <f>IF(AQ159="1",BH159,0)</f>
        <v>0</v>
      </c>
      <c r="AC159" s="35">
        <f>IF(AQ159="1",BI159,0)</f>
        <v>0</v>
      </c>
      <c r="AD159" s="35">
        <f>IF(AQ159="7",BH159,0)</f>
        <v>0</v>
      </c>
      <c r="AE159" s="35">
        <f>IF(AQ159="7",BI159,0)</f>
        <v>0</v>
      </c>
      <c r="AF159" s="35">
        <f>IF(AQ159="2",BH159,0)</f>
        <v>0</v>
      </c>
      <c r="AG159" s="35">
        <f>IF(AQ159="2",BI159,0)</f>
        <v>0</v>
      </c>
      <c r="AH159" s="35">
        <f>IF(AQ159="0",BJ159,0)</f>
        <v>0</v>
      </c>
      <c r="AI159" s="12" t="s">
        <v>57</v>
      </c>
      <c r="AJ159" s="35">
        <f>IF(AN159=0,L159,0)</f>
        <v>0</v>
      </c>
      <c r="AK159" s="35">
        <f>IF(AN159=12,L159,0)</f>
        <v>0</v>
      </c>
      <c r="AL159" s="35">
        <f>IF(AN159=21,L159,0)</f>
        <v>0</v>
      </c>
      <c r="AN159" s="35">
        <v>21</v>
      </c>
      <c r="AO159" s="35">
        <f>H159*1</f>
        <v>0</v>
      </c>
      <c r="AP159" s="35">
        <f>H159*(1-1)</f>
        <v>0</v>
      </c>
      <c r="AQ159" s="36" t="s">
        <v>357</v>
      </c>
      <c r="AV159" s="35">
        <f>AW159+AX159</f>
        <v>0</v>
      </c>
      <c r="AW159" s="35">
        <f>G159*AO159</f>
        <v>0</v>
      </c>
      <c r="AX159" s="35">
        <f>G159*AP159</f>
        <v>0</v>
      </c>
      <c r="AY159" s="36" t="s">
        <v>358</v>
      </c>
      <c r="AZ159" s="36" t="s">
        <v>359</v>
      </c>
      <c r="BA159" s="12" t="s">
        <v>69</v>
      </c>
      <c r="BC159" s="35">
        <f>AW159+AX159</f>
        <v>0</v>
      </c>
      <c r="BD159" s="35">
        <f>H159/(100-BE159)*100</f>
        <v>0</v>
      </c>
      <c r="BE159" s="35">
        <v>0</v>
      </c>
      <c r="BF159" s="35">
        <f>O159</f>
        <v>18.093400000000003</v>
      </c>
      <c r="BH159" s="35">
        <f>G159*AO159</f>
        <v>0</v>
      </c>
      <c r="BI159" s="35">
        <f>G159*AP159</f>
        <v>0</v>
      </c>
      <c r="BJ159" s="35">
        <f>G159*H159</f>
        <v>0</v>
      </c>
      <c r="BK159" s="35"/>
      <c r="BL159" s="35"/>
      <c r="BW159" s="35" t="str">
        <f>I159</f>
        <v>21</v>
      </c>
      <c r="BX159" s="4" t="s">
        <v>363</v>
      </c>
    </row>
    <row r="160" spans="1:76" ht="14.6" x14ac:dyDescent="0.4">
      <c r="A160" s="38"/>
      <c r="D160" s="39" t="s">
        <v>365</v>
      </c>
      <c r="E160" s="40" t="s">
        <v>56</v>
      </c>
      <c r="G160" s="41">
        <v>265.10000000000002</v>
      </c>
      <c r="P160" s="42"/>
    </row>
    <row r="161" spans="1:76" ht="14.6" x14ac:dyDescent="0.4">
      <c r="A161" s="38"/>
      <c r="D161" s="39" t="s">
        <v>366</v>
      </c>
      <c r="E161" s="40" t="s">
        <v>56</v>
      </c>
      <c r="G161" s="41">
        <v>13.26</v>
      </c>
      <c r="P161" s="42"/>
    </row>
    <row r="162" spans="1:76" ht="27" customHeight="1" x14ac:dyDescent="0.4">
      <c r="A162" s="38"/>
      <c r="C162" s="44" t="s">
        <v>85</v>
      </c>
      <c r="D162" s="86" t="s">
        <v>367</v>
      </c>
      <c r="E162" s="87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8"/>
    </row>
    <row r="163" spans="1:76" ht="24.9" x14ac:dyDescent="0.4">
      <c r="A163" s="2" t="s">
        <v>368</v>
      </c>
      <c r="B163" s="3" t="s">
        <v>57</v>
      </c>
      <c r="C163" s="3" t="s">
        <v>369</v>
      </c>
      <c r="D163" s="84" t="s">
        <v>370</v>
      </c>
      <c r="E163" s="85"/>
      <c r="F163" s="3" t="s">
        <v>133</v>
      </c>
      <c r="G163" s="35">
        <v>24.48</v>
      </c>
      <c r="H163" s="82"/>
      <c r="I163" s="36" t="s">
        <v>65</v>
      </c>
      <c r="J163" s="35">
        <f>G163*AO163</f>
        <v>0</v>
      </c>
      <c r="K163" s="35">
        <f>G163*AP163</f>
        <v>0</v>
      </c>
      <c r="L163" s="35">
        <f>G163*H163</f>
        <v>0</v>
      </c>
      <c r="M163" s="35">
        <f>L163*(1+BW163/100)</f>
        <v>0</v>
      </c>
      <c r="N163" s="35">
        <v>2.1999999999999999E-2</v>
      </c>
      <c r="O163" s="35">
        <f>G163*N163</f>
        <v>0.53855999999999993</v>
      </c>
      <c r="P163" s="37" t="s">
        <v>66</v>
      </c>
      <c r="Z163" s="35">
        <f>IF(AQ163="5",BJ163,0)</f>
        <v>0</v>
      </c>
      <c r="AB163" s="35">
        <f>IF(AQ163="1",BH163,0)</f>
        <v>0</v>
      </c>
      <c r="AC163" s="35">
        <f>IF(AQ163="1",BI163,0)</f>
        <v>0</v>
      </c>
      <c r="AD163" s="35">
        <f>IF(AQ163="7",BH163,0)</f>
        <v>0</v>
      </c>
      <c r="AE163" s="35">
        <f>IF(AQ163="7",BI163,0)</f>
        <v>0</v>
      </c>
      <c r="AF163" s="35">
        <f>IF(AQ163="2",BH163,0)</f>
        <v>0</v>
      </c>
      <c r="AG163" s="35">
        <f>IF(AQ163="2",BI163,0)</f>
        <v>0</v>
      </c>
      <c r="AH163" s="35">
        <f>IF(AQ163="0",BJ163,0)</f>
        <v>0</v>
      </c>
      <c r="AI163" s="12" t="s">
        <v>57</v>
      </c>
      <c r="AJ163" s="35">
        <f>IF(AN163=0,L163,0)</f>
        <v>0</v>
      </c>
      <c r="AK163" s="35">
        <f>IF(AN163=12,L163,0)</f>
        <v>0</v>
      </c>
      <c r="AL163" s="35">
        <f>IF(AN163=21,L163,0)</f>
        <v>0</v>
      </c>
      <c r="AN163" s="35">
        <v>21</v>
      </c>
      <c r="AO163" s="35">
        <f>H163*1</f>
        <v>0</v>
      </c>
      <c r="AP163" s="35">
        <f>H163*(1-1)</f>
        <v>0</v>
      </c>
      <c r="AQ163" s="36" t="s">
        <v>357</v>
      </c>
      <c r="AV163" s="35">
        <f>AW163+AX163</f>
        <v>0</v>
      </c>
      <c r="AW163" s="35">
        <f>G163*AO163</f>
        <v>0</v>
      </c>
      <c r="AX163" s="35">
        <f>G163*AP163</f>
        <v>0</v>
      </c>
      <c r="AY163" s="36" t="s">
        <v>358</v>
      </c>
      <c r="AZ163" s="36" t="s">
        <v>359</v>
      </c>
      <c r="BA163" s="12" t="s">
        <v>69</v>
      </c>
      <c r="BC163" s="35">
        <f>AW163+AX163</f>
        <v>0</v>
      </c>
      <c r="BD163" s="35">
        <f>H163/(100-BE163)*100</f>
        <v>0</v>
      </c>
      <c r="BE163" s="35">
        <v>0</v>
      </c>
      <c r="BF163" s="35">
        <f>O163</f>
        <v>0.53855999999999993</v>
      </c>
      <c r="BH163" s="35">
        <f>G163*AO163</f>
        <v>0</v>
      </c>
      <c r="BI163" s="35">
        <f>G163*AP163</f>
        <v>0</v>
      </c>
      <c r="BJ163" s="35">
        <f>G163*H163</f>
        <v>0</v>
      </c>
      <c r="BK163" s="35"/>
      <c r="BL163" s="35"/>
      <c r="BW163" s="35" t="str">
        <f>I163</f>
        <v>21</v>
      </c>
      <c r="BX163" s="4" t="s">
        <v>370</v>
      </c>
    </row>
    <row r="164" spans="1:76" ht="14.6" x14ac:dyDescent="0.4">
      <c r="A164" s="38"/>
      <c r="D164" s="39" t="s">
        <v>371</v>
      </c>
      <c r="E164" s="40" t="s">
        <v>56</v>
      </c>
      <c r="G164" s="41">
        <v>24</v>
      </c>
      <c r="P164" s="42"/>
    </row>
    <row r="165" spans="1:76" ht="14.6" x14ac:dyDescent="0.4">
      <c r="A165" s="38"/>
      <c r="D165" s="39" t="s">
        <v>372</v>
      </c>
      <c r="E165" s="40" t="s">
        <v>56</v>
      </c>
      <c r="G165" s="41">
        <v>0.48</v>
      </c>
      <c r="P165" s="42"/>
    </row>
    <row r="166" spans="1:76" ht="24.9" x14ac:dyDescent="0.4">
      <c r="A166" s="2" t="s">
        <v>373</v>
      </c>
      <c r="B166" s="3" t="s">
        <v>57</v>
      </c>
      <c r="C166" s="3" t="s">
        <v>374</v>
      </c>
      <c r="D166" s="84" t="s">
        <v>375</v>
      </c>
      <c r="E166" s="85"/>
      <c r="F166" s="3" t="s">
        <v>64</v>
      </c>
      <c r="G166" s="35">
        <v>6</v>
      </c>
      <c r="H166" s="82"/>
      <c r="I166" s="36" t="s">
        <v>65</v>
      </c>
      <c r="J166" s="35">
        <f>G166*AO166</f>
        <v>0</v>
      </c>
      <c r="K166" s="35">
        <f>G166*AP166</f>
        <v>0</v>
      </c>
      <c r="L166" s="35">
        <f>G166*H166</f>
        <v>0</v>
      </c>
      <c r="M166" s="35">
        <f>L166*(1+BW166/100)</f>
        <v>0</v>
      </c>
      <c r="N166" s="35">
        <v>0.13100000000000001</v>
      </c>
      <c r="O166" s="35">
        <f>G166*N166</f>
        <v>0.78600000000000003</v>
      </c>
      <c r="P166" s="37" t="s">
        <v>66</v>
      </c>
      <c r="Z166" s="35">
        <f>IF(AQ166="5",BJ166,0)</f>
        <v>0</v>
      </c>
      <c r="AB166" s="35">
        <f>IF(AQ166="1",BH166,0)</f>
        <v>0</v>
      </c>
      <c r="AC166" s="35">
        <f>IF(AQ166="1",BI166,0)</f>
        <v>0</v>
      </c>
      <c r="AD166" s="35">
        <f>IF(AQ166="7",BH166,0)</f>
        <v>0</v>
      </c>
      <c r="AE166" s="35">
        <f>IF(AQ166="7",BI166,0)</f>
        <v>0</v>
      </c>
      <c r="AF166" s="35">
        <f>IF(AQ166="2",BH166,0)</f>
        <v>0</v>
      </c>
      <c r="AG166" s="35">
        <f>IF(AQ166="2",BI166,0)</f>
        <v>0</v>
      </c>
      <c r="AH166" s="35">
        <f>IF(AQ166="0",BJ166,0)</f>
        <v>0</v>
      </c>
      <c r="AI166" s="12" t="s">
        <v>57</v>
      </c>
      <c r="AJ166" s="35">
        <f>IF(AN166=0,L166,0)</f>
        <v>0</v>
      </c>
      <c r="AK166" s="35">
        <f>IF(AN166=12,L166,0)</f>
        <v>0</v>
      </c>
      <c r="AL166" s="35">
        <f>IF(AN166=21,L166,0)</f>
        <v>0</v>
      </c>
      <c r="AN166" s="35">
        <v>21</v>
      </c>
      <c r="AO166" s="35">
        <f>H166*1</f>
        <v>0</v>
      </c>
      <c r="AP166" s="35">
        <f>H166*(1-1)</f>
        <v>0</v>
      </c>
      <c r="AQ166" s="36" t="s">
        <v>357</v>
      </c>
      <c r="AV166" s="35">
        <f>AW166+AX166</f>
        <v>0</v>
      </c>
      <c r="AW166" s="35">
        <f>G166*AO166</f>
        <v>0</v>
      </c>
      <c r="AX166" s="35">
        <f>G166*AP166</f>
        <v>0</v>
      </c>
      <c r="AY166" s="36" t="s">
        <v>358</v>
      </c>
      <c r="AZ166" s="36" t="s">
        <v>359</v>
      </c>
      <c r="BA166" s="12" t="s">
        <v>69</v>
      </c>
      <c r="BC166" s="35">
        <f>AW166+AX166</f>
        <v>0</v>
      </c>
      <c r="BD166" s="35">
        <f>H166/(100-BE166)*100</f>
        <v>0</v>
      </c>
      <c r="BE166" s="35">
        <v>0</v>
      </c>
      <c r="BF166" s="35">
        <f>O166</f>
        <v>0.78600000000000003</v>
      </c>
      <c r="BH166" s="35">
        <f>G166*AO166</f>
        <v>0</v>
      </c>
      <c r="BI166" s="35">
        <f>G166*AP166</f>
        <v>0</v>
      </c>
      <c r="BJ166" s="35">
        <f>G166*H166</f>
        <v>0</v>
      </c>
      <c r="BK166" s="35"/>
      <c r="BL166" s="35"/>
      <c r="BW166" s="35" t="str">
        <f>I166</f>
        <v>21</v>
      </c>
      <c r="BX166" s="4" t="s">
        <v>375</v>
      </c>
    </row>
    <row r="167" spans="1:76" ht="14.6" x14ac:dyDescent="0.4">
      <c r="A167" s="38"/>
      <c r="D167" s="39" t="s">
        <v>376</v>
      </c>
      <c r="E167" s="40" t="s">
        <v>56</v>
      </c>
      <c r="G167" s="41">
        <v>6</v>
      </c>
      <c r="P167" s="42"/>
    </row>
    <row r="168" spans="1:76" ht="24.9" x14ac:dyDescent="0.4">
      <c r="A168" s="2" t="s">
        <v>377</v>
      </c>
      <c r="B168" s="3" t="s">
        <v>57</v>
      </c>
      <c r="C168" s="3" t="s">
        <v>378</v>
      </c>
      <c r="D168" s="84" t="s">
        <v>379</v>
      </c>
      <c r="E168" s="85"/>
      <c r="F168" s="3" t="s">
        <v>64</v>
      </c>
      <c r="G168" s="35">
        <v>4.2</v>
      </c>
      <c r="H168" s="82"/>
      <c r="I168" s="36" t="s">
        <v>65</v>
      </c>
      <c r="J168" s="35">
        <f>G168*AO168</f>
        <v>0</v>
      </c>
      <c r="K168" s="35">
        <f>G168*AP168</f>
        <v>0</v>
      </c>
      <c r="L168" s="35">
        <f>G168*H168</f>
        <v>0</v>
      </c>
      <c r="M168" s="35">
        <f>L168*(1+BW168/100)</f>
        <v>0</v>
      </c>
      <c r="N168" s="35">
        <v>8.6999999999999994E-2</v>
      </c>
      <c r="O168" s="35">
        <f>G168*N168</f>
        <v>0.3654</v>
      </c>
      <c r="P168" s="37" t="s">
        <v>66</v>
      </c>
      <c r="Z168" s="35">
        <f>IF(AQ168="5",BJ168,0)</f>
        <v>0</v>
      </c>
      <c r="AB168" s="35">
        <f>IF(AQ168="1",BH168,0)</f>
        <v>0</v>
      </c>
      <c r="AC168" s="35">
        <f>IF(AQ168="1",BI168,0)</f>
        <v>0</v>
      </c>
      <c r="AD168" s="35">
        <f>IF(AQ168="7",BH168,0)</f>
        <v>0</v>
      </c>
      <c r="AE168" s="35">
        <f>IF(AQ168="7",BI168,0)</f>
        <v>0</v>
      </c>
      <c r="AF168" s="35">
        <f>IF(AQ168="2",BH168,0)</f>
        <v>0</v>
      </c>
      <c r="AG168" s="35">
        <f>IF(AQ168="2",BI168,0)</f>
        <v>0</v>
      </c>
      <c r="AH168" s="35">
        <f>IF(AQ168="0",BJ168,0)</f>
        <v>0</v>
      </c>
      <c r="AI168" s="12" t="s">
        <v>57</v>
      </c>
      <c r="AJ168" s="35">
        <f>IF(AN168=0,L168,0)</f>
        <v>0</v>
      </c>
      <c r="AK168" s="35">
        <f>IF(AN168=12,L168,0)</f>
        <v>0</v>
      </c>
      <c r="AL168" s="35">
        <f>IF(AN168=21,L168,0)</f>
        <v>0</v>
      </c>
      <c r="AN168" s="35">
        <v>21</v>
      </c>
      <c r="AO168" s="35">
        <f>H168*1</f>
        <v>0</v>
      </c>
      <c r="AP168" s="35">
        <f>H168*(1-1)</f>
        <v>0</v>
      </c>
      <c r="AQ168" s="36" t="s">
        <v>357</v>
      </c>
      <c r="AV168" s="35">
        <f>AW168+AX168</f>
        <v>0</v>
      </c>
      <c r="AW168" s="35">
        <f>G168*AO168</f>
        <v>0</v>
      </c>
      <c r="AX168" s="35">
        <f>G168*AP168</f>
        <v>0</v>
      </c>
      <c r="AY168" s="36" t="s">
        <v>358</v>
      </c>
      <c r="AZ168" s="36" t="s">
        <v>359</v>
      </c>
      <c r="BA168" s="12" t="s">
        <v>69</v>
      </c>
      <c r="BC168" s="35">
        <f>AW168+AX168</f>
        <v>0</v>
      </c>
      <c r="BD168" s="35">
        <f>H168/(100-BE168)*100</f>
        <v>0</v>
      </c>
      <c r="BE168" s="35">
        <v>0</v>
      </c>
      <c r="BF168" s="35">
        <f>O168</f>
        <v>0.3654</v>
      </c>
      <c r="BH168" s="35">
        <f>G168*AO168</f>
        <v>0</v>
      </c>
      <c r="BI168" s="35">
        <f>G168*AP168</f>
        <v>0</v>
      </c>
      <c r="BJ168" s="35">
        <f>G168*H168</f>
        <v>0</v>
      </c>
      <c r="BK168" s="35"/>
      <c r="BL168" s="35"/>
      <c r="BW168" s="35" t="str">
        <f>I168</f>
        <v>21</v>
      </c>
      <c r="BX168" s="4" t="s">
        <v>379</v>
      </c>
    </row>
    <row r="169" spans="1:76" ht="14.6" x14ac:dyDescent="0.4">
      <c r="A169" s="38"/>
      <c r="D169" s="39" t="s">
        <v>380</v>
      </c>
      <c r="E169" s="40" t="s">
        <v>56</v>
      </c>
      <c r="G169" s="41">
        <v>4</v>
      </c>
      <c r="P169" s="42"/>
    </row>
    <row r="170" spans="1:76" ht="14.6" x14ac:dyDescent="0.4">
      <c r="A170" s="38"/>
      <c r="D170" s="39" t="s">
        <v>381</v>
      </c>
      <c r="E170" s="40" t="s">
        <v>56</v>
      </c>
      <c r="G170" s="41">
        <v>0.2</v>
      </c>
      <c r="P170" s="42"/>
    </row>
    <row r="171" spans="1:76" ht="14.6" x14ac:dyDescent="0.4">
      <c r="A171" s="31" t="s">
        <v>56</v>
      </c>
      <c r="B171" s="32" t="s">
        <v>382</v>
      </c>
      <c r="C171" s="32" t="s">
        <v>56</v>
      </c>
      <c r="D171" s="89" t="s">
        <v>383</v>
      </c>
      <c r="E171" s="90"/>
      <c r="F171" s="33" t="s">
        <v>4</v>
      </c>
      <c r="G171" s="33" t="s">
        <v>4</v>
      </c>
      <c r="H171" s="33" t="s">
        <v>4</v>
      </c>
      <c r="I171" s="33" t="s">
        <v>4</v>
      </c>
      <c r="J171" s="1">
        <f>J172+J177+J183+J188+J193+J203+J208+J211+J216+J219+J226</f>
        <v>0</v>
      </c>
      <c r="K171" s="1">
        <f>K172+K177+K183+K188+K193+K203+K208+K211+K216+K219+K226</f>
        <v>0</v>
      </c>
      <c r="L171" s="1">
        <f>L172+L177+L183+L188+L193+L203+L208+L211+L216+L219+L226</f>
        <v>0</v>
      </c>
      <c r="M171" s="1">
        <f>M172+M177+M183+M188+M193+M203+M208+M211+M216+M219+M226</f>
        <v>0</v>
      </c>
      <c r="N171" s="12" t="s">
        <v>56</v>
      </c>
      <c r="O171" s="1">
        <f>O172+O177+O183+O188+O193+O203+O208+O211+O216+O219+O226</f>
        <v>288.85029500000002</v>
      </c>
      <c r="P171" s="34" t="s">
        <v>56</v>
      </c>
    </row>
    <row r="172" spans="1:76" ht="14.6" x14ac:dyDescent="0.4">
      <c r="A172" s="31" t="s">
        <v>56</v>
      </c>
      <c r="B172" s="32" t="s">
        <v>382</v>
      </c>
      <c r="C172" s="32" t="s">
        <v>59</v>
      </c>
      <c r="D172" s="89" t="s">
        <v>60</v>
      </c>
      <c r="E172" s="90"/>
      <c r="F172" s="33" t="s">
        <v>4</v>
      </c>
      <c r="G172" s="33" t="s">
        <v>4</v>
      </c>
      <c r="H172" s="33" t="s">
        <v>4</v>
      </c>
      <c r="I172" s="33" t="s">
        <v>4</v>
      </c>
      <c r="J172" s="1">
        <f>SUM(J173:J175)</f>
        <v>0</v>
      </c>
      <c r="K172" s="1">
        <f>SUM(K173:K175)</f>
        <v>0</v>
      </c>
      <c r="L172" s="1">
        <f>SUM(L173:L175)</f>
        <v>0</v>
      </c>
      <c r="M172" s="1">
        <f>SUM(M173:M175)</f>
        <v>0</v>
      </c>
      <c r="N172" s="12" t="s">
        <v>56</v>
      </c>
      <c r="O172" s="1">
        <f>SUM(O173:O175)</f>
        <v>139.88530000000003</v>
      </c>
      <c r="P172" s="34" t="s">
        <v>56</v>
      </c>
      <c r="AI172" s="12" t="s">
        <v>382</v>
      </c>
      <c r="AS172" s="1">
        <f>SUM(AJ173:AJ175)</f>
        <v>0</v>
      </c>
      <c r="AT172" s="1">
        <f>SUM(AK173:AK175)</f>
        <v>0</v>
      </c>
      <c r="AU172" s="1">
        <f>SUM(AL173:AL175)</f>
        <v>0</v>
      </c>
    </row>
    <row r="173" spans="1:76" ht="14.6" x14ac:dyDescent="0.4">
      <c r="A173" s="2" t="s">
        <v>384</v>
      </c>
      <c r="B173" s="3" t="s">
        <v>382</v>
      </c>
      <c r="C173" s="3" t="s">
        <v>385</v>
      </c>
      <c r="D173" s="84" t="s">
        <v>386</v>
      </c>
      <c r="E173" s="85"/>
      <c r="F173" s="3" t="s">
        <v>64</v>
      </c>
      <c r="G173" s="35">
        <v>167</v>
      </c>
      <c r="H173" s="82"/>
      <c r="I173" s="36" t="s">
        <v>65</v>
      </c>
      <c r="J173" s="35">
        <f>G173*AO173</f>
        <v>0</v>
      </c>
      <c r="K173" s="35">
        <f>G173*AP173</f>
        <v>0</v>
      </c>
      <c r="L173" s="35">
        <f>G173*H173</f>
        <v>0</v>
      </c>
      <c r="M173" s="35">
        <f>L173*(1+BW173/100)</f>
        <v>0</v>
      </c>
      <c r="N173" s="35">
        <v>0.55000000000000004</v>
      </c>
      <c r="O173" s="35">
        <f>G173*N173</f>
        <v>91.850000000000009</v>
      </c>
      <c r="P173" s="37" t="s">
        <v>66</v>
      </c>
      <c r="Z173" s="35">
        <f>IF(AQ173="5",BJ173,0)</f>
        <v>0</v>
      </c>
      <c r="AB173" s="35">
        <f>IF(AQ173="1",BH173,0)</f>
        <v>0</v>
      </c>
      <c r="AC173" s="35">
        <f>IF(AQ173="1",BI173,0)</f>
        <v>0</v>
      </c>
      <c r="AD173" s="35">
        <f>IF(AQ173="7",BH173,0)</f>
        <v>0</v>
      </c>
      <c r="AE173" s="35">
        <f>IF(AQ173="7",BI173,0)</f>
        <v>0</v>
      </c>
      <c r="AF173" s="35">
        <f>IF(AQ173="2",BH173,0)</f>
        <v>0</v>
      </c>
      <c r="AG173" s="35">
        <f>IF(AQ173="2",BI173,0)</f>
        <v>0</v>
      </c>
      <c r="AH173" s="35">
        <f>IF(AQ173="0",BJ173,0)</f>
        <v>0</v>
      </c>
      <c r="AI173" s="12" t="s">
        <v>382</v>
      </c>
      <c r="AJ173" s="35">
        <f>IF(AN173=0,L173,0)</f>
        <v>0</v>
      </c>
      <c r="AK173" s="35">
        <f>IF(AN173=12,L173,0)</f>
        <v>0</v>
      </c>
      <c r="AL173" s="35">
        <f>IF(AN173=21,L173,0)</f>
        <v>0</v>
      </c>
      <c r="AN173" s="35">
        <v>21</v>
      </c>
      <c r="AO173" s="35">
        <f>H173*0</f>
        <v>0</v>
      </c>
      <c r="AP173" s="35">
        <f>H173*(1-0)</f>
        <v>0</v>
      </c>
      <c r="AQ173" s="36" t="s">
        <v>61</v>
      </c>
      <c r="AV173" s="35">
        <f>AW173+AX173</f>
        <v>0</v>
      </c>
      <c r="AW173" s="35">
        <f>G173*AO173</f>
        <v>0</v>
      </c>
      <c r="AX173" s="35">
        <f>G173*AP173</f>
        <v>0</v>
      </c>
      <c r="AY173" s="36" t="s">
        <v>67</v>
      </c>
      <c r="AZ173" s="36" t="s">
        <v>387</v>
      </c>
      <c r="BA173" s="12" t="s">
        <v>388</v>
      </c>
      <c r="BC173" s="35">
        <f>AW173+AX173</f>
        <v>0</v>
      </c>
      <c r="BD173" s="35">
        <f>H173/(100-BE173)*100</f>
        <v>0</v>
      </c>
      <c r="BE173" s="35">
        <v>0</v>
      </c>
      <c r="BF173" s="35">
        <f>O173</f>
        <v>91.850000000000009</v>
      </c>
      <c r="BH173" s="35">
        <f>G173*AO173</f>
        <v>0</v>
      </c>
      <c r="BI173" s="35">
        <f>G173*AP173</f>
        <v>0</v>
      </c>
      <c r="BJ173" s="35">
        <f>G173*H173</f>
        <v>0</v>
      </c>
      <c r="BK173" s="35"/>
      <c r="BL173" s="35">
        <v>11</v>
      </c>
      <c r="BW173" s="35" t="str">
        <f>I173</f>
        <v>21</v>
      </c>
      <c r="BX173" s="4" t="s">
        <v>386</v>
      </c>
    </row>
    <row r="174" spans="1:76" ht="14.6" x14ac:dyDescent="0.4">
      <c r="A174" s="2" t="s">
        <v>389</v>
      </c>
      <c r="B174" s="3" t="s">
        <v>382</v>
      </c>
      <c r="C174" s="3" t="s">
        <v>390</v>
      </c>
      <c r="D174" s="84" t="s">
        <v>391</v>
      </c>
      <c r="E174" s="85"/>
      <c r="F174" s="3" t="s">
        <v>64</v>
      </c>
      <c r="G174" s="35">
        <v>167</v>
      </c>
      <c r="H174" s="82"/>
      <c r="I174" s="36" t="s">
        <v>65</v>
      </c>
      <c r="J174" s="35">
        <f>G174*AO174</f>
        <v>0</v>
      </c>
      <c r="K174" s="35">
        <f>G174*AP174</f>
        <v>0</v>
      </c>
      <c r="L174" s="35">
        <f>G174*H174</f>
        <v>0</v>
      </c>
      <c r="M174" s="35">
        <f>L174*(1+BW174/100)</f>
        <v>0</v>
      </c>
      <c r="N174" s="35">
        <v>0.2359</v>
      </c>
      <c r="O174" s="35">
        <f>G174*N174</f>
        <v>39.395299999999999</v>
      </c>
      <c r="P174" s="37" t="s">
        <v>66</v>
      </c>
      <c r="Z174" s="35">
        <f>IF(AQ174="5",BJ174,0)</f>
        <v>0</v>
      </c>
      <c r="AB174" s="35">
        <f>IF(AQ174="1",BH174,0)</f>
        <v>0</v>
      </c>
      <c r="AC174" s="35">
        <f>IF(AQ174="1",BI174,0)</f>
        <v>0</v>
      </c>
      <c r="AD174" s="35">
        <f>IF(AQ174="7",BH174,0)</f>
        <v>0</v>
      </c>
      <c r="AE174" s="35">
        <f>IF(AQ174="7",BI174,0)</f>
        <v>0</v>
      </c>
      <c r="AF174" s="35">
        <f>IF(AQ174="2",BH174,0)</f>
        <v>0</v>
      </c>
      <c r="AG174" s="35">
        <f>IF(AQ174="2",BI174,0)</f>
        <v>0</v>
      </c>
      <c r="AH174" s="35">
        <f>IF(AQ174="0",BJ174,0)</f>
        <v>0</v>
      </c>
      <c r="AI174" s="12" t="s">
        <v>382</v>
      </c>
      <c r="AJ174" s="35">
        <f>IF(AN174=0,L174,0)</f>
        <v>0</v>
      </c>
      <c r="AK174" s="35">
        <f>IF(AN174=12,L174,0)</f>
        <v>0</v>
      </c>
      <c r="AL174" s="35">
        <f>IF(AN174=21,L174,0)</f>
        <v>0</v>
      </c>
      <c r="AN174" s="35">
        <v>21</v>
      </c>
      <c r="AO174" s="35">
        <f>H174*0</f>
        <v>0</v>
      </c>
      <c r="AP174" s="35">
        <f>H174*(1-0)</f>
        <v>0</v>
      </c>
      <c r="AQ174" s="36" t="s">
        <v>61</v>
      </c>
      <c r="AV174" s="35">
        <f>AW174+AX174</f>
        <v>0</v>
      </c>
      <c r="AW174" s="35">
        <f>G174*AO174</f>
        <v>0</v>
      </c>
      <c r="AX174" s="35">
        <f>G174*AP174</f>
        <v>0</v>
      </c>
      <c r="AY174" s="36" t="s">
        <v>67</v>
      </c>
      <c r="AZ174" s="36" t="s">
        <v>387</v>
      </c>
      <c r="BA174" s="12" t="s">
        <v>388</v>
      </c>
      <c r="BC174" s="35">
        <f>AW174+AX174</f>
        <v>0</v>
      </c>
      <c r="BD174" s="35">
        <f>H174/(100-BE174)*100</f>
        <v>0</v>
      </c>
      <c r="BE174" s="35">
        <v>0</v>
      </c>
      <c r="BF174" s="35">
        <f>O174</f>
        <v>39.395299999999999</v>
      </c>
      <c r="BH174" s="35">
        <f>G174*AO174</f>
        <v>0</v>
      </c>
      <c r="BI174" s="35">
        <f>G174*AP174</f>
        <v>0</v>
      </c>
      <c r="BJ174" s="35">
        <f>G174*H174</f>
        <v>0</v>
      </c>
      <c r="BK174" s="35"/>
      <c r="BL174" s="35">
        <v>11</v>
      </c>
      <c r="BW174" s="35" t="str">
        <f>I174</f>
        <v>21</v>
      </c>
      <c r="BX174" s="4" t="s">
        <v>391</v>
      </c>
    </row>
    <row r="175" spans="1:76" ht="14.6" x14ac:dyDescent="0.4">
      <c r="A175" s="2" t="s">
        <v>392</v>
      </c>
      <c r="B175" s="3" t="s">
        <v>382</v>
      </c>
      <c r="C175" s="3" t="s">
        <v>96</v>
      </c>
      <c r="D175" s="84" t="s">
        <v>97</v>
      </c>
      <c r="E175" s="85"/>
      <c r="F175" s="3" t="s">
        <v>98</v>
      </c>
      <c r="G175" s="35">
        <v>32</v>
      </c>
      <c r="H175" s="82"/>
      <c r="I175" s="36" t="s">
        <v>65</v>
      </c>
      <c r="J175" s="35">
        <f>G175*AO175</f>
        <v>0</v>
      </c>
      <c r="K175" s="35">
        <f>G175*AP175</f>
        <v>0</v>
      </c>
      <c r="L175" s="35">
        <f>G175*H175</f>
        <v>0</v>
      </c>
      <c r="M175" s="35">
        <f>L175*(1+BW175/100)</f>
        <v>0</v>
      </c>
      <c r="N175" s="35">
        <v>0.27</v>
      </c>
      <c r="O175" s="35">
        <f>G175*N175</f>
        <v>8.64</v>
      </c>
      <c r="P175" s="37" t="s">
        <v>66</v>
      </c>
      <c r="Z175" s="35">
        <f>IF(AQ175="5",BJ175,0)</f>
        <v>0</v>
      </c>
      <c r="AB175" s="35">
        <f>IF(AQ175="1",BH175,0)</f>
        <v>0</v>
      </c>
      <c r="AC175" s="35">
        <f>IF(AQ175="1",BI175,0)</f>
        <v>0</v>
      </c>
      <c r="AD175" s="35">
        <f>IF(AQ175="7",BH175,0)</f>
        <v>0</v>
      </c>
      <c r="AE175" s="35">
        <f>IF(AQ175="7",BI175,0)</f>
        <v>0</v>
      </c>
      <c r="AF175" s="35">
        <f>IF(AQ175="2",BH175,0)</f>
        <v>0</v>
      </c>
      <c r="AG175" s="35">
        <f>IF(AQ175="2",BI175,0)</f>
        <v>0</v>
      </c>
      <c r="AH175" s="35">
        <f>IF(AQ175="0",BJ175,0)</f>
        <v>0</v>
      </c>
      <c r="AI175" s="12" t="s">
        <v>382</v>
      </c>
      <c r="AJ175" s="35">
        <f>IF(AN175=0,L175,0)</f>
        <v>0</v>
      </c>
      <c r="AK175" s="35">
        <f>IF(AN175=12,L175,0)</f>
        <v>0</v>
      </c>
      <c r="AL175" s="35">
        <f>IF(AN175=21,L175,0)</f>
        <v>0</v>
      </c>
      <c r="AN175" s="35">
        <v>21</v>
      </c>
      <c r="AO175" s="35">
        <f>H175*0</f>
        <v>0</v>
      </c>
      <c r="AP175" s="35">
        <f>H175*(1-0)</f>
        <v>0</v>
      </c>
      <c r="AQ175" s="36" t="s">
        <v>61</v>
      </c>
      <c r="AV175" s="35">
        <f>AW175+AX175</f>
        <v>0</v>
      </c>
      <c r="AW175" s="35">
        <f>G175*AO175</f>
        <v>0</v>
      </c>
      <c r="AX175" s="35">
        <f>G175*AP175</f>
        <v>0</v>
      </c>
      <c r="AY175" s="36" t="s">
        <v>67</v>
      </c>
      <c r="AZ175" s="36" t="s">
        <v>387</v>
      </c>
      <c r="BA175" s="12" t="s">
        <v>388</v>
      </c>
      <c r="BC175" s="35">
        <f>AW175+AX175</f>
        <v>0</v>
      </c>
      <c r="BD175" s="35">
        <f>H175/(100-BE175)*100</f>
        <v>0</v>
      </c>
      <c r="BE175" s="35">
        <v>0</v>
      </c>
      <c r="BF175" s="35">
        <f>O175</f>
        <v>8.64</v>
      </c>
      <c r="BH175" s="35">
        <f>G175*AO175</f>
        <v>0</v>
      </c>
      <c r="BI175" s="35">
        <f>G175*AP175</f>
        <v>0</v>
      </c>
      <c r="BJ175" s="35">
        <f>G175*H175</f>
        <v>0</v>
      </c>
      <c r="BK175" s="35"/>
      <c r="BL175" s="35">
        <v>11</v>
      </c>
      <c r="BW175" s="35" t="str">
        <f>I175</f>
        <v>21</v>
      </c>
      <c r="BX175" s="4" t="s">
        <v>97</v>
      </c>
    </row>
    <row r="176" spans="1:76" ht="13.5" customHeight="1" x14ac:dyDescent="0.4">
      <c r="A176" s="38"/>
      <c r="C176" s="43" t="s">
        <v>82</v>
      </c>
      <c r="D176" s="94" t="s">
        <v>393</v>
      </c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5"/>
      <c r="P176" s="96"/>
    </row>
    <row r="177" spans="1:76" ht="14.6" x14ac:dyDescent="0.4">
      <c r="A177" s="31" t="s">
        <v>56</v>
      </c>
      <c r="B177" s="32" t="s">
        <v>382</v>
      </c>
      <c r="C177" s="32" t="s">
        <v>104</v>
      </c>
      <c r="D177" s="89" t="s">
        <v>105</v>
      </c>
      <c r="E177" s="90"/>
      <c r="F177" s="33" t="s">
        <v>4</v>
      </c>
      <c r="G177" s="33" t="s">
        <v>4</v>
      </c>
      <c r="H177" s="33" t="s">
        <v>4</v>
      </c>
      <c r="I177" s="33" t="s">
        <v>4</v>
      </c>
      <c r="J177" s="1">
        <f>SUM(J178:J182)</f>
        <v>0</v>
      </c>
      <c r="K177" s="1">
        <f>SUM(K178:K182)</f>
        <v>0</v>
      </c>
      <c r="L177" s="1">
        <f>SUM(L178:L182)</f>
        <v>0</v>
      </c>
      <c r="M177" s="1">
        <f>SUM(M178:M182)</f>
        <v>0</v>
      </c>
      <c r="N177" s="12" t="s">
        <v>56</v>
      </c>
      <c r="O177" s="1">
        <f>SUM(O178:O182)</f>
        <v>0</v>
      </c>
      <c r="P177" s="34" t="s">
        <v>56</v>
      </c>
      <c r="AI177" s="12" t="s">
        <v>382</v>
      </c>
      <c r="AS177" s="1">
        <f>SUM(AJ178:AJ182)</f>
        <v>0</v>
      </c>
      <c r="AT177" s="1">
        <f>SUM(AK178:AK182)</f>
        <v>0</v>
      </c>
      <c r="AU177" s="1">
        <f>SUM(AL178:AL182)</f>
        <v>0</v>
      </c>
    </row>
    <row r="178" spans="1:76" ht="14.6" x14ac:dyDescent="0.4">
      <c r="A178" s="2" t="s">
        <v>394</v>
      </c>
      <c r="B178" s="3" t="s">
        <v>382</v>
      </c>
      <c r="C178" s="3" t="s">
        <v>113</v>
      </c>
      <c r="D178" s="84" t="s">
        <v>114</v>
      </c>
      <c r="E178" s="85"/>
      <c r="F178" s="3" t="s">
        <v>109</v>
      </c>
      <c r="G178" s="35">
        <v>6.75</v>
      </c>
      <c r="H178" s="82"/>
      <c r="I178" s="36" t="s">
        <v>65</v>
      </c>
      <c r="J178" s="35">
        <f>G178*AO178</f>
        <v>0</v>
      </c>
      <c r="K178" s="35">
        <f>G178*AP178</f>
        <v>0</v>
      </c>
      <c r="L178" s="35">
        <f>G178*H178</f>
        <v>0</v>
      </c>
      <c r="M178" s="35">
        <f>L178*(1+BW178/100)</f>
        <v>0</v>
      </c>
      <c r="N178" s="35">
        <v>0</v>
      </c>
      <c r="O178" s="35">
        <f>G178*N178</f>
        <v>0</v>
      </c>
      <c r="P178" s="37" t="s">
        <v>66</v>
      </c>
      <c r="Z178" s="35">
        <f>IF(AQ178="5",BJ178,0)</f>
        <v>0</v>
      </c>
      <c r="AB178" s="35">
        <f>IF(AQ178="1",BH178,0)</f>
        <v>0</v>
      </c>
      <c r="AC178" s="35">
        <f>IF(AQ178="1",BI178,0)</f>
        <v>0</v>
      </c>
      <c r="AD178" s="35">
        <f>IF(AQ178="7",BH178,0)</f>
        <v>0</v>
      </c>
      <c r="AE178" s="35">
        <f>IF(AQ178="7",BI178,0)</f>
        <v>0</v>
      </c>
      <c r="AF178" s="35">
        <f>IF(AQ178="2",BH178,0)</f>
        <v>0</v>
      </c>
      <c r="AG178" s="35">
        <f>IF(AQ178="2",BI178,0)</f>
        <v>0</v>
      </c>
      <c r="AH178" s="35">
        <f>IF(AQ178="0",BJ178,0)</f>
        <v>0</v>
      </c>
      <c r="AI178" s="12" t="s">
        <v>382</v>
      </c>
      <c r="AJ178" s="35">
        <f>IF(AN178=0,L178,0)</f>
        <v>0</v>
      </c>
      <c r="AK178" s="35">
        <f>IF(AN178=12,L178,0)</f>
        <v>0</v>
      </c>
      <c r="AL178" s="35">
        <f>IF(AN178=21,L178,0)</f>
        <v>0</v>
      </c>
      <c r="AN178" s="35">
        <v>21</v>
      </c>
      <c r="AO178" s="35">
        <f>H178*0</f>
        <v>0</v>
      </c>
      <c r="AP178" s="35">
        <f>H178*(1-0)</f>
        <v>0</v>
      </c>
      <c r="AQ178" s="36" t="s">
        <v>61</v>
      </c>
      <c r="AV178" s="35">
        <f>AW178+AX178</f>
        <v>0</v>
      </c>
      <c r="AW178" s="35">
        <f>G178*AO178</f>
        <v>0</v>
      </c>
      <c r="AX178" s="35">
        <f>G178*AP178</f>
        <v>0</v>
      </c>
      <c r="AY178" s="36" t="s">
        <v>110</v>
      </c>
      <c r="AZ178" s="36" t="s">
        <v>387</v>
      </c>
      <c r="BA178" s="12" t="s">
        <v>388</v>
      </c>
      <c r="BC178" s="35">
        <f>AW178+AX178</f>
        <v>0</v>
      </c>
      <c r="BD178" s="35">
        <f>H178/(100-BE178)*100</f>
        <v>0</v>
      </c>
      <c r="BE178" s="35">
        <v>0</v>
      </c>
      <c r="BF178" s="35">
        <f>O178</f>
        <v>0</v>
      </c>
      <c r="BH178" s="35">
        <f>G178*AO178</f>
        <v>0</v>
      </c>
      <c r="BI178" s="35">
        <f>G178*AP178</f>
        <v>0</v>
      </c>
      <c r="BJ178" s="35">
        <f>G178*H178</f>
        <v>0</v>
      </c>
      <c r="BK178" s="35"/>
      <c r="BL178" s="35">
        <v>12</v>
      </c>
      <c r="BW178" s="35" t="str">
        <f>I178</f>
        <v>21</v>
      </c>
      <c r="BX178" s="4" t="s">
        <v>114</v>
      </c>
    </row>
    <row r="179" spans="1:76" ht="14.6" x14ac:dyDescent="0.4">
      <c r="A179" s="38"/>
      <c r="D179" s="39" t="s">
        <v>395</v>
      </c>
      <c r="E179" s="40" t="s">
        <v>56</v>
      </c>
      <c r="G179" s="41">
        <v>6.75</v>
      </c>
      <c r="P179" s="42"/>
    </row>
    <row r="180" spans="1:76" ht="14.6" x14ac:dyDescent="0.4">
      <c r="A180" s="2" t="s">
        <v>396</v>
      </c>
      <c r="B180" s="3" t="s">
        <v>382</v>
      </c>
      <c r="C180" s="3" t="s">
        <v>116</v>
      </c>
      <c r="D180" s="84" t="s">
        <v>117</v>
      </c>
      <c r="E180" s="85"/>
      <c r="F180" s="3" t="s">
        <v>109</v>
      </c>
      <c r="G180" s="35">
        <v>2.7</v>
      </c>
      <c r="H180" s="82"/>
      <c r="I180" s="36" t="s">
        <v>65</v>
      </c>
      <c r="J180" s="35">
        <f>G180*AO180</f>
        <v>0</v>
      </c>
      <c r="K180" s="35">
        <f>G180*AP180</f>
        <v>0</v>
      </c>
      <c r="L180" s="35">
        <f>G180*H180</f>
        <v>0</v>
      </c>
      <c r="M180" s="35">
        <f>L180*(1+BW180/100)</f>
        <v>0</v>
      </c>
      <c r="N180" s="35">
        <v>0</v>
      </c>
      <c r="O180" s="35">
        <f>G180*N180</f>
        <v>0</v>
      </c>
      <c r="P180" s="37" t="s">
        <v>66</v>
      </c>
      <c r="Z180" s="35">
        <f>IF(AQ180="5",BJ180,0)</f>
        <v>0</v>
      </c>
      <c r="AB180" s="35">
        <f>IF(AQ180="1",BH180,0)</f>
        <v>0</v>
      </c>
      <c r="AC180" s="35">
        <f>IF(AQ180="1",BI180,0)</f>
        <v>0</v>
      </c>
      <c r="AD180" s="35">
        <f>IF(AQ180="7",BH180,0)</f>
        <v>0</v>
      </c>
      <c r="AE180" s="35">
        <f>IF(AQ180="7",BI180,0)</f>
        <v>0</v>
      </c>
      <c r="AF180" s="35">
        <f>IF(AQ180="2",BH180,0)</f>
        <v>0</v>
      </c>
      <c r="AG180" s="35">
        <f>IF(AQ180="2",BI180,0)</f>
        <v>0</v>
      </c>
      <c r="AH180" s="35">
        <f>IF(AQ180="0",BJ180,0)</f>
        <v>0</v>
      </c>
      <c r="AI180" s="12" t="s">
        <v>382</v>
      </c>
      <c r="AJ180" s="35">
        <f>IF(AN180=0,L180,0)</f>
        <v>0</v>
      </c>
      <c r="AK180" s="35">
        <f>IF(AN180=12,L180,0)</f>
        <v>0</v>
      </c>
      <c r="AL180" s="35">
        <f>IF(AN180=21,L180,0)</f>
        <v>0</v>
      </c>
      <c r="AN180" s="35">
        <v>21</v>
      </c>
      <c r="AO180" s="35">
        <f>H180*0</f>
        <v>0</v>
      </c>
      <c r="AP180" s="35">
        <f>H180*(1-0)</f>
        <v>0</v>
      </c>
      <c r="AQ180" s="36" t="s">
        <v>61</v>
      </c>
      <c r="AV180" s="35">
        <f>AW180+AX180</f>
        <v>0</v>
      </c>
      <c r="AW180" s="35">
        <f>G180*AO180</f>
        <v>0</v>
      </c>
      <c r="AX180" s="35">
        <f>G180*AP180</f>
        <v>0</v>
      </c>
      <c r="AY180" s="36" t="s">
        <v>110</v>
      </c>
      <c r="AZ180" s="36" t="s">
        <v>387</v>
      </c>
      <c r="BA180" s="12" t="s">
        <v>388</v>
      </c>
      <c r="BC180" s="35">
        <f>AW180+AX180</f>
        <v>0</v>
      </c>
      <c r="BD180" s="35">
        <f>H180/(100-BE180)*100</f>
        <v>0</v>
      </c>
      <c r="BE180" s="35">
        <v>0</v>
      </c>
      <c r="BF180" s="35">
        <f>O180</f>
        <v>0</v>
      </c>
      <c r="BH180" s="35">
        <f>G180*AO180</f>
        <v>0</v>
      </c>
      <c r="BI180" s="35">
        <f>G180*AP180</f>
        <v>0</v>
      </c>
      <c r="BJ180" s="35">
        <f>G180*H180</f>
        <v>0</v>
      </c>
      <c r="BK180" s="35"/>
      <c r="BL180" s="35">
        <v>12</v>
      </c>
      <c r="BW180" s="35" t="str">
        <f>I180</f>
        <v>21</v>
      </c>
      <c r="BX180" s="4" t="s">
        <v>117</v>
      </c>
    </row>
    <row r="181" spans="1:76" ht="14.6" x14ac:dyDescent="0.4">
      <c r="A181" s="38"/>
      <c r="D181" s="39" t="s">
        <v>397</v>
      </c>
      <c r="E181" s="40" t="s">
        <v>56</v>
      </c>
      <c r="G181" s="41">
        <v>2.7</v>
      </c>
      <c r="P181" s="42"/>
    </row>
    <row r="182" spans="1:76" ht="14.6" x14ac:dyDescent="0.4">
      <c r="A182" s="2" t="s">
        <v>398</v>
      </c>
      <c r="B182" s="3" t="s">
        <v>382</v>
      </c>
      <c r="C182" s="3" t="s">
        <v>119</v>
      </c>
      <c r="D182" s="84" t="s">
        <v>120</v>
      </c>
      <c r="E182" s="85"/>
      <c r="F182" s="3" t="s">
        <v>109</v>
      </c>
      <c r="G182" s="35">
        <v>2.7</v>
      </c>
      <c r="H182" s="82"/>
      <c r="I182" s="36" t="s">
        <v>65</v>
      </c>
      <c r="J182" s="35">
        <f>G182*AO182</f>
        <v>0</v>
      </c>
      <c r="K182" s="35">
        <f>G182*AP182</f>
        <v>0</v>
      </c>
      <c r="L182" s="35">
        <f>G182*H182</f>
        <v>0</v>
      </c>
      <c r="M182" s="35">
        <f>L182*(1+BW182/100)</f>
        <v>0</v>
      </c>
      <c r="N182" s="35">
        <v>0</v>
      </c>
      <c r="O182" s="35">
        <f>G182*N182</f>
        <v>0</v>
      </c>
      <c r="P182" s="37" t="s">
        <v>66</v>
      </c>
      <c r="Z182" s="35">
        <f>IF(AQ182="5",BJ182,0)</f>
        <v>0</v>
      </c>
      <c r="AB182" s="35">
        <f>IF(AQ182="1",BH182,0)</f>
        <v>0</v>
      </c>
      <c r="AC182" s="35">
        <f>IF(AQ182="1",BI182,0)</f>
        <v>0</v>
      </c>
      <c r="AD182" s="35">
        <f>IF(AQ182="7",BH182,0)</f>
        <v>0</v>
      </c>
      <c r="AE182" s="35">
        <f>IF(AQ182="7",BI182,0)</f>
        <v>0</v>
      </c>
      <c r="AF182" s="35">
        <f>IF(AQ182="2",BH182,0)</f>
        <v>0</v>
      </c>
      <c r="AG182" s="35">
        <f>IF(AQ182="2",BI182,0)</f>
        <v>0</v>
      </c>
      <c r="AH182" s="35">
        <f>IF(AQ182="0",BJ182,0)</f>
        <v>0</v>
      </c>
      <c r="AI182" s="12" t="s">
        <v>382</v>
      </c>
      <c r="AJ182" s="35">
        <f>IF(AN182=0,L182,0)</f>
        <v>0</v>
      </c>
      <c r="AK182" s="35">
        <f>IF(AN182=12,L182,0)</f>
        <v>0</v>
      </c>
      <c r="AL182" s="35">
        <f>IF(AN182=21,L182,0)</f>
        <v>0</v>
      </c>
      <c r="AN182" s="35">
        <v>21</v>
      </c>
      <c r="AO182" s="35">
        <f>H182*0</f>
        <v>0</v>
      </c>
      <c r="AP182" s="35">
        <f>H182*(1-0)</f>
        <v>0</v>
      </c>
      <c r="AQ182" s="36" t="s">
        <v>61</v>
      </c>
      <c r="AV182" s="35">
        <f>AW182+AX182</f>
        <v>0</v>
      </c>
      <c r="AW182" s="35">
        <f>G182*AO182</f>
        <v>0</v>
      </c>
      <c r="AX182" s="35">
        <f>G182*AP182</f>
        <v>0</v>
      </c>
      <c r="AY182" s="36" t="s">
        <v>110</v>
      </c>
      <c r="AZ182" s="36" t="s">
        <v>387</v>
      </c>
      <c r="BA182" s="12" t="s">
        <v>388</v>
      </c>
      <c r="BC182" s="35">
        <f>AW182+AX182</f>
        <v>0</v>
      </c>
      <c r="BD182" s="35">
        <f>H182/(100-BE182)*100</f>
        <v>0</v>
      </c>
      <c r="BE182" s="35">
        <v>0</v>
      </c>
      <c r="BF182" s="35">
        <f>O182</f>
        <v>0</v>
      </c>
      <c r="BH182" s="35">
        <f>G182*AO182</f>
        <v>0</v>
      </c>
      <c r="BI182" s="35">
        <f>G182*AP182</f>
        <v>0</v>
      </c>
      <c r="BJ182" s="35">
        <f>G182*H182</f>
        <v>0</v>
      </c>
      <c r="BK182" s="35"/>
      <c r="BL182" s="35">
        <v>12</v>
      </c>
      <c r="BW182" s="35" t="str">
        <f>I182</f>
        <v>21</v>
      </c>
      <c r="BX182" s="4" t="s">
        <v>120</v>
      </c>
    </row>
    <row r="183" spans="1:76" ht="14.6" x14ac:dyDescent="0.4">
      <c r="A183" s="31" t="s">
        <v>56</v>
      </c>
      <c r="B183" s="32" t="s">
        <v>382</v>
      </c>
      <c r="C183" s="32" t="s">
        <v>138</v>
      </c>
      <c r="D183" s="89" t="s">
        <v>139</v>
      </c>
      <c r="E183" s="90"/>
      <c r="F183" s="33" t="s">
        <v>4</v>
      </c>
      <c r="G183" s="33" t="s">
        <v>4</v>
      </c>
      <c r="H183" s="33" t="s">
        <v>4</v>
      </c>
      <c r="I183" s="33" t="s">
        <v>4</v>
      </c>
      <c r="J183" s="1">
        <f>SUM(J184:J185)</f>
        <v>0</v>
      </c>
      <c r="K183" s="1">
        <f>SUM(K184:K185)</f>
        <v>0</v>
      </c>
      <c r="L183" s="1">
        <f>SUM(L184:L185)</f>
        <v>0</v>
      </c>
      <c r="M183" s="1">
        <f>SUM(M184:M185)</f>
        <v>0</v>
      </c>
      <c r="N183" s="12" t="s">
        <v>56</v>
      </c>
      <c r="O183" s="1">
        <f>SUM(O184:O185)</f>
        <v>0</v>
      </c>
      <c r="P183" s="34" t="s">
        <v>56</v>
      </c>
      <c r="AI183" s="12" t="s">
        <v>382</v>
      </c>
      <c r="AS183" s="1">
        <f>SUM(AJ184:AJ185)</f>
        <v>0</v>
      </c>
      <c r="AT183" s="1">
        <f>SUM(AK184:AK185)</f>
        <v>0</v>
      </c>
      <c r="AU183" s="1">
        <f>SUM(AL184:AL185)</f>
        <v>0</v>
      </c>
    </row>
    <row r="184" spans="1:76" ht="14.6" x14ac:dyDescent="0.4">
      <c r="A184" s="2" t="s">
        <v>399</v>
      </c>
      <c r="B184" s="3" t="s">
        <v>382</v>
      </c>
      <c r="C184" s="3" t="s">
        <v>140</v>
      </c>
      <c r="D184" s="84" t="s">
        <v>141</v>
      </c>
      <c r="E184" s="85"/>
      <c r="F184" s="3" t="s">
        <v>109</v>
      </c>
      <c r="G184" s="35">
        <v>0.9</v>
      </c>
      <c r="H184" s="82"/>
      <c r="I184" s="36" t="s">
        <v>65</v>
      </c>
      <c r="J184" s="35">
        <f>G184*AO184</f>
        <v>0</v>
      </c>
      <c r="K184" s="35">
        <f>G184*AP184</f>
        <v>0</v>
      </c>
      <c r="L184" s="35">
        <f>G184*H184</f>
        <v>0</v>
      </c>
      <c r="M184" s="35">
        <f>L184*(1+BW184/100)</f>
        <v>0</v>
      </c>
      <c r="N184" s="35">
        <v>0</v>
      </c>
      <c r="O184" s="35">
        <f>G184*N184</f>
        <v>0</v>
      </c>
      <c r="P184" s="37" t="s">
        <v>66</v>
      </c>
      <c r="Z184" s="35">
        <f>IF(AQ184="5",BJ184,0)</f>
        <v>0</v>
      </c>
      <c r="AB184" s="35">
        <f>IF(AQ184="1",BH184,0)</f>
        <v>0</v>
      </c>
      <c r="AC184" s="35">
        <f>IF(AQ184="1",BI184,0)</f>
        <v>0</v>
      </c>
      <c r="AD184" s="35">
        <f>IF(AQ184="7",BH184,0)</f>
        <v>0</v>
      </c>
      <c r="AE184" s="35">
        <f>IF(AQ184="7",BI184,0)</f>
        <v>0</v>
      </c>
      <c r="AF184" s="35">
        <f>IF(AQ184="2",BH184,0)</f>
        <v>0</v>
      </c>
      <c r="AG184" s="35">
        <f>IF(AQ184="2",BI184,0)</f>
        <v>0</v>
      </c>
      <c r="AH184" s="35">
        <f>IF(AQ184="0",BJ184,0)</f>
        <v>0</v>
      </c>
      <c r="AI184" s="12" t="s">
        <v>382</v>
      </c>
      <c r="AJ184" s="35">
        <f>IF(AN184=0,L184,0)</f>
        <v>0</v>
      </c>
      <c r="AK184" s="35">
        <f>IF(AN184=12,L184,0)</f>
        <v>0</v>
      </c>
      <c r="AL184" s="35">
        <f>IF(AN184=21,L184,0)</f>
        <v>0</v>
      </c>
      <c r="AN184" s="35">
        <v>21</v>
      </c>
      <c r="AO184" s="35">
        <f>H184*0</f>
        <v>0</v>
      </c>
      <c r="AP184" s="35">
        <f>H184*(1-0)</f>
        <v>0</v>
      </c>
      <c r="AQ184" s="36" t="s">
        <v>61</v>
      </c>
      <c r="AV184" s="35">
        <f>AW184+AX184</f>
        <v>0</v>
      </c>
      <c r="AW184" s="35">
        <f>G184*AO184</f>
        <v>0</v>
      </c>
      <c r="AX184" s="35">
        <f>G184*AP184</f>
        <v>0</v>
      </c>
      <c r="AY184" s="36" t="s">
        <v>142</v>
      </c>
      <c r="AZ184" s="36" t="s">
        <v>387</v>
      </c>
      <c r="BA184" s="12" t="s">
        <v>388</v>
      </c>
      <c r="BC184" s="35">
        <f>AW184+AX184</f>
        <v>0</v>
      </c>
      <c r="BD184" s="35">
        <f>H184/(100-BE184)*100</f>
        <v>0</v>
      </c>
      <c r="BE184" s="35">
        <v>0</v>
      </c>
      <c r="BF184" s="35">
        <f>O184</f>
        <v>0</v>
      </c>
      <c r="BH184" s="35">
        <f>G184*AO184</f>
        <v>0</v>
      </c>
      <c r="BI184" s="35">
        <f>G184*AP184</f>
        <v>0</v>
      </c>
      <c r="BJ184" s="35">
        <f>G184*H184</f>
        <v>0</v>
      </c>
      <c r="BK184" s="35"/>
      <c r="BL184" s="35">
        <v>17</v>
      </c>
      <c r="BW184" s="35" t="str">
        <f>I184</f>
        <v>21</v>
      </c>
      <c r="BX184" s="4" t="s">
        <v>141</v>
      </c>
    </row>
    <row r="185" spans="1:76" ht="14.6" x14ac:dyDescent="0.4">
      <c r="A185" s="2" t="s">
        <v>400</v>
      </c>
      <c r="B185" s="3" t="s">
        <v>382</v>
      </c>
      <c r="C185" s="3" t="s">
        <v>145</v>
      </c>
      <c r="D185" s="84" t="s">
        <v>146</v>
      </c>
      <c r="E185" s="85"/>
      <c r="F185" s="3" t="s">
        <v>109</v>
      </c>
      <c r="G185" s="35">
        <v>1.8</v>
      </c>
      <c r="H185" s="82"/>
      <c r="I185" s="36" t="s">
        <v>65</v>
      </c>
      <c r="J185" s="35">
        <f>G185*AO185</f>
        <v>0</v>
      </c>
      <c r="K185" s="35">
        <f>G185*AP185</f>
        <v>0</v>
      </c>
      <c r="L185" s="35">
        <f>G185*H185</f>
        <v>0</v>
      </c>
      <c r="M185" s="35">
        <f>L185*(1+BW185/100)</f>
        <v>0</v>
      </c>
      <c r="N185" s="35">
        <v>0</v>
      </c>
      <c r="O185" s="35">
        <f>G185*N185</f>
        <v>0</v>
      </c>
      <c r="P185" s="37" t="s">
        <v>66</v>
      </c>
      <c r="Z185" s="35">
        <f>IF(AQ185="5",BJ185,0)</f>
        <v>0</v>
      </c>
      <c r="AB185" s="35">
        <f>IF(AQ185="1",BH185,0)</f>
        <v>0</v>
      </c>
      <c r="AC185" s="35">
        <f>IF(AQ185="1",BI185,0)</f>
        <v>0</v>
      </c>
      <c r="AD185" s="35">
        <f>IF(AQ185="7",BH185,0)</f>
        <v>0</v>
      </c>
      <c r="AE185" s="35">
        <f>IF(AQ185="7",BI185,0)</f>
        <v>0</v>
      </c>
      <c r="AF185" s="35">
        <f>IF(AQ185="2",BH185,0)</f>
        <v>0</v>
      </c>
      <c r="AG185" s="35">
        <f>IF(AQ185="2",BI185,0)</f>
        <v>0</v>
      </c>
      <c r="AH185" s="35">
        <f>IF(AQ185="0",BJ185,0)</f>
        <v>0</v>
      </c>
      <c r="AI185" s="12" t="s">
        <v>382</v>
      </c>
      <c r="AJ185" s="35">
        <f>IF(AN185=0,L185,0)</f>
        <v>0</v>
      </c>
      <c r="AK185" s="35">
        <f>IF(AN185=12,L185,0)</f>
        <v>0</v>
      </c>
      <c r="AL185" s="35">
        <f>IF(AN185=21,L185,0)</f>
        <v>0</v>
      </c>
      <c r="AN185" s="35">
        <v>21</v>
      </c>
      <c r="AO185" s="35">
        <f>H185*0</f>
        <v>0</v>
      </c>
      <c r="AP185" s="35">
        <f>H185*(1-0)</f>
        <v>0</v>
      </c>
      <c r="AQ185" s="36" t="s">
        <v>61</v>
      </c>
      <c r="AV185" s="35">
        <f>AW185+AX185</f>
        <v>0</v>
      </c>
      <c r="AW185" s="35">
        <f>G185*AO185</f>
        <v>0</v>
      </c>
      <c r="AX185" s="35">
        <f>G185*AP185</f>
        <v>0</v>
      </c>
      <c r="AY185" s="36" t="s">
        <v>142</v>
      </c>
      <c r="AZ185" s="36" t="s">
        <v>387</v>
      </c>
      <c r="BA185" s="12" t="s">
        <v>388</v>
      </c>
      <c r="BC185" s="35">
        <f>AW185+AX185</f>
        <v>0</v>
      </c>
      <c r="BD185" s="35">
        <f>H185/(100-BE185)*100</f>
        <v>0</v>
      </c>
      <c r="BE185" s="35">
        <v>0</v>
      </c>
      <c r="BF185" s="35">
        <f>O185</f>
        <v>0</v>
      </c>
      <c r="BH185" s="35">
        <f>G185*AO185</f>
        <v>0</v>
      </c>
      <c r="BI185" s="35">
        <f>G185*AP185</f>
        <v>0</v>
      </c>
      <c r="BJ185" s="35">
        <f>G185*H185</f>
        <v>0</v>
      </c>
      <c r="BK185" s="35"/>
      <c r="BL185" s="35">
        <v>17</v>
      </c>
      <c r="BW185" s="35" t="str">
        <f>I185</f>
        <v>21</v>
      </c>
      <c r="BX185" s="4" t="s">
        <v>146</v>
      </c>
    </row>
    <row r="186" spans="1:76" ht="13.5" customHeight="1" x14ac:dyDescent="0.4">
      <c r="A186" s="38"/>
      <c r="C186" s="43" t="s">
        <v>82</v>
      </c>
      <c r="D186" s="94" t="s">
        <v>147</v>
      </c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6"/>
    </row>
    <row r="187" spans="1:76" ht="14.6" x14ac:dyDescent="0.4">
      <c r="A187" s="38"/>
      <c r="D187" s="39" t="s">
        <v>401</v>
      </c>
      <c r="E187" s="40" t="s">
        <v>56</v>
      </c>
      <c r="G187" s="41">
        <v>1.8</v>
      </c>
      <c r="P187" s="42"/>
    </row>
    <row r="188" spans="1:76" ht="14.6" x14ac:dyDescent="0.4">
      <c r="A188" s="31" t="s">
        <v>56</v>
      </c>
      <c r="B188" s="32" t="s">
        <v>382</v>
      </c>
      <c r="C188" s="32" t="s">
        <v>149</v>
      </c>
      <c r="D188" s="89" t="s">
        <v>150</v>
      </c>
      <c r="E188" s="90"/>
      <c r="F188" s="33" t="s">
        <v>4</v>
      </c>
      <c r="G188" s="33" t="s">
        <v>4</v>
      </c>
      <c r="H188" s="33" t="s">
        <v>4</v>
      </c>
      <c r="I188" s="33" t="s">
        <v>4</v>
      </c>
      <c r="J188" s="1">
        <f>SUM(J189:J192)</f>
        <v>0</v>
      </c>
      <c r="K188" s="1">
        <f>SUM(K189:K192)</f>
        <v>0</v>
      </c>
      <c r="L188" s="1">
        <f>SUM(L189:L192)</f>
        <v>0</v>
      </c>
      <c r="M188" s="1">
        <f>SUM(M189:M192)</f>
        <v>0</v>
      </c>
      <c r="N188" s="12" t="s">
        <v>56</v>
      </c>
      <c r="O188" s="1">
        <f>SUM(O189:O192)</f>
        <v>0</v>
      </c>
      <c r="P188" s="34" t="s">
        <v>56</v>
      </c>
      <c r="AI188" s="12" t="s">
        <v>382</v>
      </c>
      <c r="AS188" s="1">
        <f>SUM(AJ189:AJ192)</f>
        <v>0</v>
      </c>
      <c r="AT188" s="1">
        <f>SUM(AK189:AK192)</f>
        <v>0</v>
      </c>
      <c r="AU188" s="1">
        <f>SUM(AL189:AL192)</f>
        <v>0</v>
      </c>
    </row>
    <row r="189" spans="1:76" ht="14.6" x14ac:dyDescent="0.4">
      <c r="A189" s="2" t="s">
        <v>402</v>
      </c>
      <c r="B189" s="3" t="s">
        <v>382</v>
      </c>
      <c r="C189" s="3" t="s">
        <v>151</v>
      </c>
      <c r="D189" s="84" t="s">
        <v>152</v>
      </c>
      <c r="E189" s="85"/>
      <c r="F189" s="3" t="s">
        <v>64</v>
      </c>
      <c r="G189" s="35">
        <v>45</v>
      </c>
      <c r="H189" s="82"/>
      <c r="I189" s="36" t="s">
        <v>65</v>
      </c>
      <c r="J189" s="35">
        <f>G189*AO189</f>
        <v>0</v>
      </c>
      <c r="K189" s="35">
        <f>G189*AP189</f>
        <v>0</v>
      </c>
      <c r="L189" s="35">
        <f>G189*H189</f>
        <v>0</v>
      </c>
      <c r="M189" s="35">
        <f>L189*(1+BW189/100)</f>
        <v>0</v>
      </c>
      <c r="N189" s="35">
        <v>0</v>
      </c>
      <c r="O189" s="35">
        <f>G189*N189</f>
        <v>0</v>
      </c>
      <c r="P189" s="37" t="s">
        <v>66</v>
      </c>
      <c r="Z189" s="35">
        <f>IF(AQ189="5",BJ189,0)</f>
        <v>0</v>
      </c>
      <c r="AB189" s="35">
        <f>IF(AQ189="1",BH189,0)</f>
        <v>0</v>
      </c>
      <c r="AC189" s="35">
        <f>IF(AQ189="1",BI189,0)</f>
        <v>0</v>
      </c>
      <c r="AD189" s="35">
        <f>IF(AQ189="7",BH189,0)</f>
        <v>0</v>
      </c>
      <c r="AE189" s="35">
        <f>IF(AQ189="7",BI189,0)</f>
        <v>0</v>
      </c>
      <c r="AF189" s="35">
        <f>IF(AQ189="2",BH189,0)</f>
        <v>0</v>
      </c>
      <c r="AG189" s="35">
        <f>IF(AQ189="2",BI189,0)</f>
        <v>0</v>
      </c>
      <c r="AH189" s="35">
        <f>IF(AQ189="0",BJ189,0)</f>
        <v>0</v>
      </c>
      <c r="AI189" s="12" t="s">
        <v>382</v>
      </c>
      <c r="AJ189" s="35">
        <f>IF(AN189=0,L189,0)</f>
        <v>0</v>
      </c>
      <c r="AK189" s="35">
        <f>IF(AN189=12,L189,0)</f>
        <v>0</v>
      </c>
      <c r="AL189" s="35">
        <f>IF(AN189=21,L189,0)</f>
        <v>0</v>
      </c>
      <c r="AN189" s="35">
        <v>21</v>
      </c>
      <c r="AO189" s="35">
        <f>H189*0.072542373</f>
        <v>0</v>
      </c>
      <c r="AP189" s="35">
        <f>H189*(1-0.072542373)</f>
        <v>0</v>
      </c>
      <c r="AQ189" s="36" t="s">
        <v>61</v>
      </c>
      <c r="AV189" s="35">
        <f>AW189+AX189</f>
        <v>0</v>
      </c>
      <c r="AW189" s="35">
        <f>G189*AO189</f>
        <v>0</v>
      </c>
      <c r="AX189" s="35">
        <f>G189*AP189</f>
        <v>0</v>
      </c>
      <c r="AY189" s="36" t="s">
        <v>153</v>
      </c>
      <c r="AZ189" s="36" t="s">
        <v>387</v>
      </c>
      <c r="BA189" s="12" t="s">
        <v>388</v>
      </c>
      <c r="BC189" s="35">
        <f>AW189+AX189</f>
        <v>0</v>
      </c>
      <c r="BD189" s="35">
        <f>H189/(100-BE189)*100</f>
        <v>0</v>
      </c>
      <c r="BE189" s="35">
        <v>0</v>
      </c>
      <c r="BF189" s="35">
        <f>O189</f>
        <v>0</v>
      </c>
      <c r="BH189" s="35">
        <f>G189*AO189</f>
        <v>0</v>
      </c>
      <c r="BI189" s="35">
        <f>G189*AP189</f>
        <v>0</v>
      </c>
      <c r="BJ189" s="35">
        <f>G189*H189</f>
        <v>0</v>
      </c>
      <c r="BK189" s="35"/>
      <c r="BL189" s="35">
        <v>18</v>
      </c>
      <c r="BW189" s="35" t="str">
        <f>I189</f>
        <v>21</v>
      </c>
      <c r="BX189" s="4" t="s">
        <v>152</v>
      </c>
    </row>
    <row r="190" spans="1:76" ht="14.6" x14ac:dyDescent="0.4">
      <c r="A190" s="2" t="s">
        <v>403</v>
      </c>
      <c r="B190" s="3" t="s">
        <v>382</v>
      </c>
      <c r="C190" s="3" t="s">
        <v>160</v>
      </c>
      <c r="D190" s="84" t="s">
        <v>161</v>
      </c>
      <c r="E190" s="85"/>
      <c r="F190" s="3" t="s">
        <v>64</v>
      </c>
      <c r="G190" s="35">
        <v>175.35</v>
      </c>
      <c r="H190" s="82"/>
      <c r="I190" s="36" t="s">
        <v>65</v>
      </c>
      <c r="J190" s="35">
        <f>G190*AO190</f>
        <v>0</v>
      </c>
      <c r="K190" s="35">
        <f>G190*AP190</f>
        <v>0</v>
      </c>
      <c r="L190" s="35">
        <f>G190*H190</f>
        <v>0</v>
      </c>
      <c r="M190" s="35">
        <f>L190*(1+BW190/100)</f>
        <v>0</v>
      </c>
      <c r="N190" s="35">
        <v>0</v>
      </c>
      <c r="O190" s="35">
        <f>G190*N190</f>
        <v>0</v>
      </c>
      <c r="P190" s="37" t="s">
        <v>66</v>
      </c>
      <c r="Z190" s="35">
        <f>IF(AQ190="5",BJ190,0)</f>
        <v>0</v>
      </c>
      <c r="AB190" s="35">
        <f>IF(AQ190="1",BH190,0)</f>
        <v>0</v>
      </c>
      <c r="AC190" s="35">
        <f>IF(AQ190="1",BI190,0)</f>
        <v>0</v>
      </c>
      <c r="AD190" s="35">
        <f>IF(AQ190="7",BH190,0)</f>
        <v>0</v>
      </c>
      <c r="AE190" s="35">
        <f>IF(AQ190="7",BI190,0)</f>
        <v>0</v>
      </c>
      <c r="AF190" s="35">
        <f>IF(AQ190="2",BH190,0)</f>
        <v>0</v>
      </c>
      <c r="AG190" s="35">
        <f>IF(AQ190="2",BI190,0)</f>
        <v>0</v>
      </c>
      <c r="AH190" s="35">
        <f>IF(AQ190="0",BJ190,0)</f>
        <v>0</v>
      </c>
      <c r="AI190" s="12" t="s">
        <v>382</v>
      </c>
      <c r="AJ190" s="35">
        <f>IF(AN190=0,L190,0)</f>
        <v>0</v>
      </c>
      <c r="AK190" s="35">
        <f>IF(AN190=12,L190,0)</f>
        <v>0</v>
      </c>
      <c r="AL190" s="35">
        <f>IF(AN190=21,L190,0)</f>
        <v>0</v>
      </c>
      <c r="AN190" s="35">
        <v>21</v>
      </c>
      <c r="AO190" s="35">
        <f>H190*0</f>
        <v>0</v>
      </c>
      <c r="AP190" s="35">
        <f>H190*(1-0)</f>
        <v>0</v>
      </c>
      <c r="AQ190" s="36" t="s">
        <v>61</v>
      </c>
      <c r="AV190" s="35">
        <f>AW190+AX190</f>
        <v>0</v>
      </c>
      <c r="AW190" s="35">
        <f>G190*AO190</f>
        <v>0</v>
      </c>
      <c r="AX190" s="35">
        <f>G190*AP190</f>
        <v>0</v>
      </c>
      <c r="AY190" s="36" t="s">
        <v>153</v>
      </c>
      <c r="AZ190" s="36" t="s">
        <v>387</v>
      </c>
      <c r="BA190" s="12" t="s">
        <v>388</v>
      </c>
      <c r="BC190" s="35">
        <f>AW190+AX190</f>
        <v>0</v>
      </c>
      <c r="BD190" s="35">
        <f>H190/(100-BE190)*100</f>
        <v>0</v>
      </c>
      <c r="BE190" s="35">
        <v>0</v>
      </c>
      <c r="BF190" s="35">
        <f>O190</f>
        <v>0</v>
      </c>
      <c r="BH190" s="35">
        <f>G190*AO190</f>
        <v>0</v>
      </c>
      <c r="BI190" s="35">
        <f>G190*AP190</f>
        <v>0</v>
      </c>
      <c r="BJ190" s="35">
        <f>G190*H190</f>
        <v>0</v>
      </c>
      <c r="BK190" s="35"/>
      <c r="BL190" s="35">
        <v>18</v>
      </c>
      <c r="BW190" s="35" t="str">
        <f>I190</f>
        <v>21</v>
      </c>
      <c r="BX190" s="4" t="s">
        <v>161</v>
      </c>
    </row>
    <row r="191" spans="1:76" ht="14.6" x14ac:dyDescent="0.4">
      <c r="A191" s="38"/>
      <c r="D191" s="39" t="s">
        <v>404</v>
      </c>
      <c r="E191" s="40" t="s">
        <v>56</v>
      </c>
      <c r="G191" s="41">
        <v>175.35</v>
      </c>
      <c r="P191" s="42"/>
    </row>
    <row r="192" spans="1:76" ht="14.6" x14ac:dyDescent="0.4">
      <c r="A192" s="2" t="s">
        <v>405</v>
      </c>
      <c r="B192" s="3" t="s">
        <v>382</v>
      </c>
      <c r="C192" s="3" t="s">
        <v>163</v>
      </c>
      <c r="D192" s="84" t="s">
        <v>164</v>
      </c>
      <c r="E192" s="85"/>
      <c r="F192" s="3" t="s">
        <v>64</v>
      </c>
      <c r="G192" s="35">
        <v>45</v>
      </c>
      <c r="H192" s="82"/>
      <c r="I192" s="36" t="s">
        <v>65</v>
      </c>
      <c r="J192" s="35">
        <f>G192*AO192</f>
        <v>0</v>
      </c>
      <c r="K192" s="35">
        <f>G192*AP192</f>
        <v>0</v>
      </c>
      <c r="L192" s="35">
        <f>G192*H192</f>
        <v>0</v>
      </c>
      <c r="M192" s="35">
        <f>L192*(1+BW192/100)</f>
        <v>0</v>
      </c>
      <c r="N192" s="35">
        <v>0</v>
      </c>
      <c r="O192" s="35">
        <f>G192*N192</f>
        <v>0</v>
      </c>
      <c r="P192" s="37" t="s">
        <v>66</v>
      </c>
      <c r="Z192" s="35">
        <f>IF(AQ192="5",BJ192,0)</f>
        <v>0</v>
      </c>
      <c r="AB192" s="35">
        <f>IF(AQ192="1",BH192,0)</f>
        <v>0</v>
      </c>
      <c r="AC192" s="35">
        <f>IF(AQ192="1",BI192,0)</f>
        <v>0</v>
      </c>
      <c r="AD192" s="35">
        <f>IF(AQ192="7",BH192,0)</f>
        <v>0</v>
      </c>
      <c r="AE192" s="35">
        <f>IF(AQ192="7",BI192,0)</f>
        <v>0</v>
      </c>
      <c r="AF192" s="35">
        <f>IF(AQ192="2",BH192,0)</f>
        <v>0</v>
      </c>
      <c r="AG192" s="35">
        <f>IF(AQ192="2",BI192,0)</f>
        <v>0</v>
      </c>
      <c r="AH192" s="35">
        <f>IF(AQ192="0",BJ192,0)</f>
        <v>0</v>
      </c>
      <c r="AI192" s="12" t="s">
        <v>382</v>
      </c>
      <c r="AJ192" s="35">
        <f>IF(AN192=0,L192,0)</f>
        <v>0</v>
      </c>
      <c r="AK192" s="35">
        <f>IF(AN192=12,L192,0)</f>
        <v>0</v>
      </c>
      <c r="AL192" s="35">
        <f>IF(AN192=21,L192,0)</f>
        <v>0</v>
      </c>
      <c r="AN192" s="35">
        <v>21</v>
      </c>
      <c r="AO192" s="35">
        <f>H192*0</f>
        <v>0</v>
      </c>
      <c r="AP192" s="35">
        <f>H192*(1-0)</f>
        <v>0</v>
      </c>
      <c r="AQ192" s="36" t="s">
        <v>61</v>
      </c>
      <c r="AV192" s="35">
        <f>AW192+AX192</f>
        <v>0</v>
      </c>
      <c r="AW192" s="35">
        <f>G192*AO192</f>
        <v>0</v>
      </c>
      <c r="AX192" s="35">
        <f>G192*AP192</f>
        <v>0</v>
      </c>
      <c r="AY192" s="36" t="s">
        <v>153</v>
      </c>
      <c r="AZ192" s="36" t="s">
        <v>387</v>
      </c>
      <c r="BA192" s="12" t="s">
        <v>388</v>
      </c>
      <c r="BC192" s="35">
        <f>AW192+AX192</f>
        <v>0</v>
      </c>
      <c r="BD192" s="35">
        <f>H192/(100-BE192)*100</f>
        <v>0</v>
      </c>
      <c r="BE192" s="35">
        <v>0</v>
      </c>
      <c r="BF192" s="35">
        <f>O192</f>
        <v>0</v>
      </c>
      <c r="BH192" s="35">
        <f>G192*AO192</f>
        <v>0</v>
      </c>
      <c r="BI192" s="35">
        <f>G192*AP192</f>
        <v>0</v>
      </c>
      <c r="BJ192" s="35">
        <f>G192*H192</f>
        <v>0</v>
      </c>
      <c r="BK192" s="35"/>
      <c r="BL192" s="35">
        <v>18</v>
      </c>
      <c r="BW192" s="35" t="str">
        <f>I192</f>
        <v>21</v>
      </c>
      <c r="BX192" s="4" t="s">
        <v>164</v>
      </c>
    </row>
    <row r="193" spans="1:76" ht="14.6" x14ac:dyDescent="0.4">
      <c r="A193" s="31" t="s">
        <v>56</v>
      </c>
      <c r="B193" s="32" t="s">
        <v>382</v>
      </c>
      <c r="C193" s="32" t="s">
        <v>172</v>
      </c>
      <c r="D193" s="89" t="s">
        <v>173</v>
      </c>
      <c r="E193" s="90"/>
      <c r="F193" s="33" t="s">
        <v>4</v>
      </c>
      <c r="G193" s="33" t="s">
        <v>4</v>
      </c>
      <c r="H193" s="33" t="s">
        <v>4</v>
      </c>
      <c r="I193" s="33" t="s">
        <v>4</v>
      </c>
      <c r="J193" s="1">
        <f>SUM(J194:J200)</f>
        <v>0</v>
      </c>
      <c r="K193" s="1">
        <f>SUM(K194:K200)</f>
        <v>0</v>
      </c>
      <c r="L193" s="1">
        <f>SUM(L194:L200)</f>
        <v>0</v>
      </c>
      <c r="M193" s="1">
        <f>SUM(M194:M200)</f>
        <v>0</v>
      </c>
      <c r="N193" s="12" t="s">
        <v>56</v>
      </c>
      <c r="O193" s="1">
        <f>SUM(O194:O200)</f>
        <v>116.86749999999999</v>
      </c>
      <c r="P193" s="34" t="s">
        <v>56</v>
      </c>
      <c r="AI193" s="12" t="s">
        <v>382</v>
      </c>
      <c r="AS193" s="1">
        <f>SUM(AJ194:AJ200)</f>
        <v>0</v>
      </c>
      <c r="AT193" s="1">
        <f>SUM(AK194:AK200)</f>
        <v>0</v>
      </c>
      <c r="AU193" s="1">
        <f>SUM(AL194:AL200)</f>
        <v>0</v>
      </c>
    </row>
    <row r="194" spans="1:76" ht="14.6" x14ac:dyDescent="0.4">
      <c r="A194" s="2" t="s">
        <v>406</v>
      </c>
      <c r="B194" s="3" t="s">
        <v>382</v>
      </c>
      <c r="C194" s="3" t="s">
        <v>175</v>
      </c>
      <c r="D194" s="84" t="s">
        <v>176</v>
      </c>
      <c r="E194" s="85"/>
      <c r="F194" s="3" t="s">
        <v>64</v>
      </c>
      <c r="G194" s="35">
        <v>349</v>
      </c>
      <c r="H194" s="82"/>
      <c r="I194" s="36" t="s">
        <v>65</v>
      </c>
      <c r="J194" s="35">
        <v>0</v>
      </c>
      <c r="K194" s="35">
        <f>H194*G194</f>
        <v>0</v>
      </c>
      <c r="L194" s="35">
        <f>G194*H194</f>
        <v>0</v>
      </c>
      <c r="M194" s="35">
        <f>L194*(1+BW194/100)</f>
        <v>0</v>
      </c>
      <c r="N194" s="35">
        <v>0.105</v>
      </c>
      <c r="O194" s="35">
        <f>G194*N194</f>
        <v>36.644999999999996</v>
      </c>
      <c r="P194" s="37" t="s">
        <v>66</v>
      </c>
      <c r="Z194" s="35">
        <f>IF(AQ194="5",BJ194,0)</f>
        <v>0</v>
      </c>
      <c r="AB194" s="35">
        <f>IF(AQ194="1",BH194,0)</f>
        <v>0</v>
      </c>
      <c r="AC194" s="35">
        <f>IF(AQ194="1",BI194,0)</f>
        <v>0</v>
      </c>
      <c r="AD194" s="35">
        <f>IF(AQ194="7",BH194,0)</f>
        <v>0</v>
      </c>
      <c r="AE194" s="35">
        <f>IF(AQ194="7",BI194,0)</f>
        <v>0</v>
      </c>
      <c r="AF194" s="35">
        <f>IF(AQ194="2",BH194,0)</f>
        <v>0</v>
      </c>
      <c r="AG194" s="35">
        <f>IF(AQ194="2",BI194,0)</f>
        <v>0</v>
      </c>
      <c r="AH194" s="35">
        <f>IF(AQ194="0",BJ194,0)</f>
        <v>0</v>
      </c>
      <c r="AI194" s="12" t="s">
        <v>382</v>
      </c>
      <c r="AJ194" s="35">
        <f>IF(AN194=0,L194,0)</f>
        <v>0</v>
      </c>
      <c r="AK194" s="35">
        <f>IF(AN194=12,L194,0)</f>
        <v>0</v>
      </c>
      <c r="AL194" s="35">
        <f>IF(AN194=21,L194,0)</f>
        <v>0</v>
      </c>
      <c r="AN194" s="35">
        <v>21</v>
      </c>
      <c r="AO194" s="35">
        <f>H194*0.601550388</f>
        <v>0</v>
      </c>
      <c r="AP194" s="35">
        <f>H194*(1-0.601550388)</f>
        <v>0</v>
      </c>
      <c r="AQ194" s="36" t="s">
        <v>61</v>
      </c>
      <c r="AV194" s="35">
        <f>AW194+AX194</f>
        <v>0</v>
      </c>
      <c r="AW194" s="35">
        <f>G194*AO194</f>
        <v>0</v>
      </c>
      <c r="AX194" s="35">
        <f>G194*AP194</f>
        <v>0</v>
      </c>
      <c r="AY194" s="36" t="s">
        <v>177</v>
      </c>
      <c r="AZ194" s="36" t="s">
        <v>407</v>
      </c>
      <c r="BA194" s="12" t="s">
        <v>388</v>
      </c>
      <c r="BC194" s="35">
        <f>AW194+AX194</f>
        <v>0</v>
      </c>
      <c r="BD194" s="35">
        <f>H194/(100-BE194)*100</f>
        <v>0</v>
      </c>
      <c r="BE194" s="35">
        <v>0</v>
      </c>
      <c r="BF194" s="35">
        <f>O194</f>
        <v>36.644999999999996</v>
      </c>
      <c r="BH194" s="35">
        <f>G194*AO194</f>
        <v>0</v>
      </c>
      <c r="BI194" s="35">
        <f>G194*AP194</f>
        <v>0</v>
      </c>
      <c r="BJ194" s="35">
        <f>G194*H194</f>
        <v>0</v>
      </c>
      <c r="BK194" s="35"/>
      <c r="BL194" s="35">
        <v>56</v>
      </c>
      <c r="BW194" s="35" t="str">
        <f>I194</f>
        <v>21</v>
      </c>
      <c r="BX194" s="4" t="s">
        <v>176</v>
      </c>
    </row>
    <row r="195" spans="1:76" ht="14.6" x14ac:dyDescent="0.4">
      <c r="A195" s="38"/>
      <c r="D195" s="39" t="s">
        <v>408</v>
      </c>
      <c r="E195" s="40" t="s">
        <v>56</v>
      </c>
      <c r="G195" s="41">
        <v>349</v>
      </c>
      <c r="P195" s="42"/>
    </row>
    <row r="196" spans="1:76" ht="13.5" customHeight="1" x14ac:dyDescent="0.4">
      <c r="A196" s="38"/>
      <c r="C196" s="44" t="s">
        <v>85</v>
      </c>
      <c r="D196" s="86" t="s">
        <v>181</v>
      </c>
      <c r="E196" s="87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8"/>
    </row>
    <row r="197" spans="1:76" ht="14.6" x14ac:dyDescent="0.4">
      <c r="A197" s="2" t="s">
        <v>409</v>
      </c>
      <c r="B197" s="3" t="s">
        <v>382</v>
      </c>
      <c r="C197" s="3" t="s">
        <v>183</v>
      </c>
      <c r="D197" s="84" t="s">
        <v>184</v>
      </c>
      <c r="E197" s="85"/>
      <c r="F197" s="3" t="s">
        <v>64</v>
      </c>
      <c r="G197" s="35">
        <v>19</v>
      </c>
      <c r="H197" s="82"/>
      <c r="I197" s="36" t="s">
        <v>65</v>
      </c>
      <c r="J197" s="35">
        <f>G197*AO197</f>
        <v>0</v>
      </c>
      <c r="K197" s="35">
        <f>G197*AP197</f>
        <v>0</v>
      </c>
      <c r="L197" s="35">
        <f>G197*H197</f>
        <v>0</v>
      </c>
      <c r="M197" s="35">
        <f>L197*(1+BW197/100)</f>
        <v>0</v>
      </c>
      <c r="N197" s="35">
        <v>0.17199999999999999</v>
      </c>
      <c r="O197" s="35">
        <f>G197*N197</f>
        <v>3.2679999999999998</v>
      </c>
      <c r="P197" s="37" t="s">
        <v>66</v>
      </c>
      <c r="Z197" s="35">
        <f>IF(AQ197="5",BJ197,0)</f>
        <v>0</v>
      </c>
      <c r="AB197" s="35">
        <f>IF(AQ197="1",BH197,0)</f>
        <v>0</v>
      </c>
      <c r="AC197" s="35">
        <f>IF(AQ197="1",BI197,0)</f>
        <v>0</v>
      </c>
      <c r="AD197" s="35">
        <f>IF(AQ197="7",BH197,0)</f>
        <v>0</v>
      </c>
      <c r="AE197" s="35">
        <f>IF(AQ197="7",BI197,0)</f>
        <v>0</v>
      </c>
      <c r="AF197" s="35">
        <f>IF(AQ197="2",BH197,0)</f>
        <v>0</v>
      </c>
      <c r="AG197" s="35">
        <f>IF(AQ197="2",BI197,0)</f>
        <v>0</v>
      </c>
      <c r="AH197" s="35">
        <f>IF(AQ197="0",BJ197,0)</f>
        <v>0</v>
      </c>
      <c r="AI197" s="12" t="s">
        <v>382</v>
      </c>
      <c r="AJ197" s="35">
        <f>IF(AN197=0,L197,0)</f>
        <v>0</v>
      </c>
      <c r="AK197" s="35">
        <f>IF(AN197=12,L197,0)</f>
        <v>0</v>
      </c>
      <c r="AL197" s="35">
        <f>IF(AN197=21,L197,0)</f>
        <v>0</v>
      </c>
      <c r="AN197" s="35">
        <v>21</v>
      </c>
      <c r="AO197" s="35">
        <f>H197*0.789327731</f>
        <v>0</v>
      </c>
      <c r="AP197" s="35">
        <f>H197*(1-0.789327731)</f>
        <v>0</v>
      </c>
      <c r="AQ197" s="36" t="s">
        <v>61</v>
      </c>
      <c r="AV197" s="35">
        <f>AW197+AX197</f>
        <v>0</v>
      </c>
      <c r="AW197" s="35">
        <f>G197*AO197</f>
        <v>0</v>
      </c>
      <c r="AX197" s="35">
        <f>G197*AP197</f>
        <v>0</v>
      </c>
      <c r="AY197" s="36" t="s">
        <v>177</v>
      </c>
      <c r="AZ197" s="36" t="s">
        <v>407</v>
      </c>
      <c r="BA197" s="12" t="s">
        <v>388</v>
      </c>
      <c r="BC197" s="35">
        <f>AW197+AX197</f>
        <v>0</v>
      </c>
      <c r="BD197" s="35">
        <f>H197/(100-BE197)*100</f>
        <v>0</v>
      </c>
      <c r="BE197" s="35">
        <v>0</v>
      </c>
      <c r="BF197" s="35">
        <f>O197</f>
        <v>3.2679999999999998</v>
      </c>
      <c r="BH197" s="35">
        <f>G197*AO197</f>
        <v>0</v>
      </c>
      <c r="BI197" s="35">
        <f>G197*AP197</f>
        <v>0</v>
      </c>
      <c r="BJ197" s="35">
        <f>G197*H197</f>
        <v>0</v>
      </c>
      <c r="BK197" s="35"/>
      <c r="BL197" s="35">
        <v>56</v>
      </c>
      <c r="BW197" s="35" t="str">
        <f>I197</f>
        <v>21</v>
      </c>
      <c r="BX197" s="4" t="s">
        <v>184</v>
      </c>
    </row>
    <row r="198" spans="1:76" ht="13.5" customHeight="1" x14ac:dyDescent="0.4">
      <c r="A198" s="38"/>
      <c r="C198" s="43" t="s">
        <v>82</v>
      </c>
      <c r="D198" s="94" t="s">
        <v>410</v>
      </c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95"/>
      <c r="P198" s="96"/>
    </row>
    <row r="199" spans="1:76" ht="14.6" x14ac:dyDescent="0.4">
      <c r="A199" s="38"/>
      <c r="D199" s="39" t="s">
        <v>411</v>
      </c>
      <c r="E199" s="40" t="s">
        <v>56</v>
      </c>
      <c r="G199" s="41">
        <v>19</v>
      </c>
      <c r="P199" s="42"/>
    </row>
    <row r="200" spans="1:76" ht="14.6" x14ac:dyDescent="0.4">
      <c r="A200" s="2" t="s">
        <v>412</v>
      </c>
      <c r="B200" s="3" t="s">
        <v>382</v>
      </c>
      <c r="C200" s="3" t="s">
        <v>193</v>
      </c>
      <c r="D200" s="84" t="s">
        <v>194</v>
      </c>
      <c r="E200" s="85"/>
      <c r="F200" s="3" t="s">
        <v>64</v>
      </c>
      <c r="G200" s="35">
        <v>174.5</v>
      </c>
      <c r="H200" s="82"/>
      <c r="I200" s="36" t="s">
        <v>65</v>
      </c>
      <c r="J200" s="35">
        <f>G200*AO200</f>
        <v>0</v>
      </c>
      <c r="K200" s="35">
        <f>G200*AP200</f>
        <v>0</v>
      </c>
      <c r="L200" s="35">
        <f>G200*H200</f>
        <v>0</v>
      </c>
      <c r="M200" s="35">
        <f>L200*(1+BW200/100)</f>
        <v>0</v>
      </c>
      <c r="N200" s="35">
        <v>0.441</v>
      </c>
      <c r="O200" s="35">
        <f>G200*N200</f>
        <v>76.954499999999996</v>
      </c>
      <c r="P200" s="37" t="s">
        <v>66</v>
      </c>
      <c r="Z200" s="35">
        <f>IF(AQ200="5",BJ200,0)</f>
        <v>0</v>
      </c>
      <c r="AB200" s="35">
        <f>IF(AQ200="1",BH200,0)</f>
        <v>0</v>
      </c>
      <c r="AC200" s="35">
        <f>IF(AQ200="1",BI200,0)</f>
        <v>0</v>
      </c>
      <c r="AD200" s="35">
        <f>IF(AQ200="7",BH200,0)</f>
        <v>0</v>
      </c>
      <c r="AE200" s="35">
        <f>IF(AQ200="7",BI200,0)</f>
        <v>0</v>
      </c>
      <c r="AF200" s="35">
        <f>IF(AQ200="2",BH200,0)</f>
        <v>0</v>
      </c>
      <c r="AG200" s="35">
        <f>IF(AQ200="2",BI200,0)</f>
        <v>0</v>
      </c>
      <c r="AH200" s="35">
        <f>IF(AQ200="0",BJ200,0)</f>
        <v>0</v>
      </c>
      <c r="AI200" s="12" t="s">
        <v>382</v>
      </c>
      <c r="AJ200" s="35">
        <f>IF(AN200=0,L200,0)</f>
        <v>0</v>
      </c>
      <c r="AK200" s="35">
        <f>IF(AN200=12,L200,0)</f>
        <v>0</v>
      </c>
      <c r="AL200" s="35">
        <f>IF(AN200=21,L200,0)</f>
        <v>0</v>
      </c>
      <c r="AN200" s="35">
        <v>21</v>
      </c>
      <c r="AO200" s="35">
        <f>H200*0.84595186</f>
        <v>0</v>
      </c>
      <c r="AP200" s="35">
        <f>H200*(1-0.84595186)</f>
        <v>0</v>
      </c>
      <c r="AQ200" s="36" t="s">
        <v>61</v>
      </c>
      <c r="AV200" s="35">
        <f>AW200+AX200</f>
        <v>0</v>
      </c>
      <c r="AW200" s="35">
        <f>G200*AO200</f>
        <v>0</v>
      </c>
      <c r="AX200" s="35">
        <f>G200*AP200</f>
        <v>0</v>
      </c>
      <c r="AY200" s="36" t="s">
        <v>177</v>
      </c>
      <c r="AZ200" s="36" t="s">
        <v>407</v>
      </c>
      <c r="BA200" s="12" t="s">
        <v>388</v>
      </c>
      <c r="BC200" s="35">
        <f>AW200+AX200</f>
        <v>0</v>
      </c>
      <c r="BD200" s="35">
        <f>H200/(100-BE200)*100</f>
        <v>0</v>
      </c>
      <c r="BE200" s="35">
        <v>0</v>
      </c>
      <c r="BF200" s="35">
        <f>O200</f>
        <v>76.954499999999996</v>
      </c>
      <c r="BH200" s="35">
        <f>G200*AO200</f>
        <v>0</v>
      </c>
      <c r="BI200" s="35">
        <f>G200*AP200</f>
        <v>0</v>
      </c>
      <c r="BJ200" s="35">
        <f>G200*H200</f>
        <v>0</v>
      </c>
      <c r="BK200" s="35"/>
      <c r="BL200" s="35">
        <v>56</v>
      </c>
      <c r="BW200" s="35" t="str">
        <f>I200</f>
        <v>21</v>
      </c>
      <c r="BX200" s="4" t="s">
        <v>194</v>
      </c>
    </row>
    <row r="201" spans="1:76" ht="13.5" customHeight="1" x14ac:dyDescent="0.4">
      <c r="A201" s="38"/>
      <c r="C201" s="43" t="s">
        <v>82</v>
      </c>
      <c r="D201" s="94" t="s">
        <v>413</v>
      </c>
      <c r="E201" s="95"/>
      <c r="F201" s="95"/>
      <c r="G201" s="95"/>
      <c r="H201" s="95"/>
      <c r="I201" s="95"/>
      <c r="J201" s="95"/>
      <c r="K201" s="95"/>
      <c r="L201" s="95"/>
      <c r="M201" s="95"/>
      <c r="N201" s="95"/>
      <c r="O201" s="95"/>
      <c r="P201" s="96"/>
    </row>
    <row r="202" spans="1:76" ht="14.6" x14ac:dyDescent="0.4">
      <c r="A202" s="38"/>
      <c r="D202" s="39" t="s">
        <v>414</v>
      </c>
      <c r="E202" s="40" t="s">
        <v>56</v>
      </c>
      <c r="G202" s="41">
        <v>174.5</v>
      </c>
      <c r="P202" s="42"/>
    </row>
    <row r="203" spans="1:76" ht="14.6" x14ac:dyDescent="0.4">
      <c r="A203" s="31" t="s">
        <v>56</v>
      </c>
      <c r="B203" s="32" t="s">
        <v>382</v>
      </c>
      <c r="C203" s="32" t="s">
        <v>197</v>
      </c>
      <c r="D203" s="89" t="s">
        <v>198</v>
      </c>
      <c r="E203" s="90"/>
      <c r="F203" s="33" t="s">
        <v>4</v>
      </c>
      <c r="G203" s="33" t="s">
        <v>4</v>
      </c>
      <c r="H203" s="33" t="s">
        <v>4</v>
      </c>
      <c r="I203" s="33" t="s">
        <v>4</v>
      </c>
      <c r="J203" s="1">
        <f>SUM(J204:J205)</f>
        <v>0</v>
      </c>
      <c r="K203" s="1">
        <f>SUM(K204:K205)</f>
        <v>0</v>
      </c>
      <c r="L203" s="1">
        <f>SUM(L204:L205)</f>
        <v>0</v>
      </c>
      <c r="M203" s="1">
        <f>SUM(M204:M205)</f>
        <v>0</v>
      </c>
      <c r="N203" s="12" t="s">
        <v>56</v>
      </c>
      <c r="O203" s="1">
        <f>SUM(O204:O205)</f>
        <v>22.679765</v>
      </c>
      <c r="P203" s="34" t="s">
        <v>56</v>
      </c>
      <c r="AI203" s="12" t="s">
        <v>382</v>
      </c>
      <c r="AS203" s="1">
        <f>SUM(AJ204:AJ205)</f>
        <v>0</v>
      </c>
      <c r="AT203" s="1">
        <f>SUM(AK204:AK205)</f>
        <v>0</v>
      </c>
      <c r="AU203" s="1">
        <f>SUM(AL204:AL205)</f>
        <v>0</v>
      </c>
    </row>
    <row r="204" spans="1:76" ht="14.6" x14ac:dyDescent="0.4">
      <c r="A204" s="2" t="s">
        <v>415</v>
      </c>
      <c r="B204" s="3" t="s">
        <v>382</v>
      </c>
      <c r="C204" s="3" t="s">
        <v>200</v>
      </c>
      <c r="D204" s="84" t="s">
        <v>201</v>
      </c>
      <c r="E204" s="85"/>
      <c r="F204" s="3" t="s">
        <v>64</v>
      </c>
      <c r="G204" s="35">
        <v>174.5</v>
      </c>
      <c r="H204" s="82"/>
      <c r="I204" s="36" t="s">
        <v>65</v>
      </c>
      <c r="J204" s="35">
        <f>G204*AO204</f>
        <v>0</v>
      </c>
      <c r="K204" s="35">
        <f>G204*AP204</f>
        <v>0</v>
      </c>
      <c r="L204" s="35">
        <f>G204*H204</f>
        <v>0</v>
      </c>
      <c r="M204" s="35">
        <f>L204*(1+BW204/100)</f>
        <v>0</v>
      </c>
      <c r="N204" s="35">
        <v>3.1E-4</v>
      </c>
      <c r="O204" s="35">
        <f>G204*N204</f>
        <v>5.4094999999999997E-2</v>
      </c>
      <c r="P204" s="37" t="s">
        <v>202</v>
      </c>
      <c r="Z204" s="35">
        <f>IF(AQ204="5",BJ204,0)</f>
        <v>0</v>
      </c>
      <c r="AB204" s="35">
        <f>IF(AQ204="1",BH204,0)</f>
        <v>0</v>
      </c>
      <c r="AC204" s="35">
        <f>IF(AQ204="1",BI204,0)</f>
        <v>0</v>
      </c>
      <c r="AD204" s="35">
        <f>IF(AQ204="7",BH204,0)</f>
        <v>0</v>
      </c>
      <c r="AE204" s="35">
        <f>IF(AQ204="7",BI204,0)</f>
        <v>0</v>
      </c>
      <c r="AF204" s="35">
        <f>IF(AQ204="2",BH204,0)</f>
        <v>0</v>
      </c>
      <c r="AG204" s="35">
        <f>IF(AQ204="2",BI204,0)</f>
        <v>0</v>
      </c>
      <c r="AH204" s="35">
        <f>IF(AQ204="0",BJ204,0)</f>
        <v>0</v>
      </c>
      <c r="AI204" s="12" t="s">
        <v>382</v>
      </c>
      <c r="AJ204" s="35">
        <f>IF(AN204=0,L204,0)</f>
        <v>0</v>
      </c>
      <c r="AK204" s="35">
        <f>IF(AN204=12,L204,0)</f>
        <v>0</v>
      </c>
      <c r="AL204" s="35">
        <f>IF(AN204=21,L204,0)</f>
        <v>0</v>
      </c>
      <c r="AN204" s="35">
        <v>21</v>
      </c>
      <c r="AO204" s="35">
        <f>H204*0.86937158</f>
        <v>0</v>
      </c>
      <c r="AP204" s="35">
        <f>H204*(1-0.86937158)</f>
        <v>0</v>
      </c>
      <c r="AQ204" s="36" t="s">
        <v>61</v>
      </c>
      <c r="AV204" s="35">
        <f>AW204+AX204</f>
        <v>0</v>
      </c>
      <c r="AW204" s="35">
        <f>G204*AO204</f>
        <v>0</v>
      </c>
      <c r="AX204" s="35">
        <f>G204*AP204</f>
        <v>0</v>
      </c>
      <c r="AY204" s="36" t="s">
        <v>203</v>
      </c>
      <c r="AZ204" s="36" t="s">
        <v>407</v>
      </c>
      <c r="BA204" s="12" t="s">
        <v>388</v>
      </c>
      <c r="BC204" s="35">
        <f>AW204+AX204</f>
        <v>0</v>
      </c>
      <c r="BD204" s="35">
        <f>H204/(100-BE204)*100</f>
        <v>0</v>
      </c>
      <c r="BE204" s="35">
        <v>0</v>
      </c>
      <c r="BF204" s="35">
        <f>O204</f>
        <v>5.4094999999999997E-2</v>
      </c>
      <c r="BH204" s="35">
        <f>G204*AO204</f>
        <v>0</v>
      </c>
      <c r="BI204" s="35">
        <f>G204*AP204</f>
        <v>0</v>
      </c>
      <c r="BJ204" s="35">
        <f>G204*H204</f>
        <v>0</v>
      </c>
      <c r="BK204" s="35"/>
      <c r="BL204" s="35">
        <v>57</v>
      </c>
      <c r="BW204" s="35" t="str">
        <f>I204</f>
        <v>21</v>
      </c>
      <c r="BX204" s="4" t="s">
        <v>201</v>
      </c>
    </row>
    <row r="205" spans="1:76" ht="14.6" x14ac:dyDescent="0.4">
      <c r="A205" s="2" t="s">
        <v>416</v>
      </c>
      <c r="B205" s="3" t="s">
        <v>382</v>
      </c>
      <c r="C205" s="3" t="s">
        <v>417</v>
      </c>
      <c r="D205" s="84" t="s">
        <v>418</v>
      </c>
      <c r="E205" s="85"/>
      <c r="F205" s="3" t="s">
        <v>64</v>
      </c>
      <c r="G205" s="35">
        <v>174.5</v>
      </c>
      <c r="H205" s="82"/>
      <c r="I205" s="36" t="s">
        <v>65</v>
      </c>
      <c r="J205" s="35">
        <f>G205*AO205</f>
        <v>0</v>
      </c>
      <c r="K205" s="35">
        <f>G205*AP205</f>
        <v>0</v>
      </c>
      <c r="L205" s="35">
        <f>G205*H205</f>
        <v>0</v>
      </c>
      <c r="M205" s="35">
        <f>L205*(1+BW205/100)</f>
        <v>0</v>
      </c>
      <c r="N205" s="35">
        <v>0.12966</v>
      </c>
      <c r="O205" s="35">
        <f>G205*N205</f>
        <v>22.62567</v>
      </c>
      <c r="P205" s="37" t="s">
        <v>66</v>
      </c>
      <c r="Z205" s="35">
        <f>IF(AQ205="5",BJ205,0)</f>
        <v>0</v>
      </c>
      <c r="AB205" s="35">
        <f>IF(AQ205="1",BH205,0)</f>
        <v>0</v>
      </c>
      <c r="AC205" s="35">
        <f>IF(AQ205="1",BI205,0)</f>
        <v>0</v>
      </c>
      <c r="AD205" s="35">
        <f>IF(AQ205="7",BH205,0)</f>
        <v>0</v>
      </c>
      <c r="AE205" s="35">
        <f>IF(AQ205="7",BI205,0)</f>
        <v>0</v>
      </c>
      <c r="AF205" s="35">
        <f>IF(AQ205="2",BH205,0)</f>
        <v>0</v>
      </c>
      <c r="AG205" s="35">
        <f>IF(AQ205="2",BI205,0)</f>
        <v>0</v>
      </c>
      <c r="AH205" s="35">
        <f>IF(AQ205="0",BJ205,0)</f>
        <v>0</v>
      </c>
      <c r="AI205" s="12" t="s">
        <v>382</v>
      </c>
      <c r="AJ205" s="35">
        <f>IF(AN205=0,L205,0)</f>
        <v>0</v>
      </c>
      <c r="AK205" s="35">
        <f>IF(AN205=12,L205,0)</f>
        <v>0</v>
      </c>
      <c r="AL205" s="35">
        <f>IF(AN205=21,L205,0)</f>
        <v>0</v>
      </c>
      <c r="AN205" s="35">
        <v>21</v>
      </c>
      <c r="AO205" s="35">
        <f>H205*0.644358974</f>
        <v>0</v>
      </c>
      <c r="AP205" s="35">
        <f>H205*(1-0.644358974)</f>
        <v>0</v>
      </c>
      <c r="AQ205" s="36" t="s">
        <v>61</v>
      </c>
      <c r="AV205" s="35">
        <f>AW205+AX205</f>
        <v>0</v>
      </c>
      <c r="AW205" s="35">
        <f>G205*AO205</f>
        <v>0</v>
      </c>
      <c r="AX205" s="35">
        <f>G205*AP205</f>
        <v>0</v>
      </c>
      <c r="AY205" s="36" t="s">
        <v>203</v>
      </c>
      <c r="AZ205" s="36" t="s">
        <v>407</v>
      </c>
      <c r="BA205" s="12" t="s">
        <v>388</v>
      </c>
      <c r="BC205" s="35">
        <f>AW205+AX205</f>
        <v>0</v>
      </c>
      <c r="BD205" s="35">
        <f>H205/(100-BE205)*100</f>
        <v>0</v>
      </c>
      <c r="BE205" s="35">
        <v>0</v>
      </c>
      <c r="BF205" s="35">
        <f>O205</f>
        <v>22.62567</v>
      </c>
      <c r="BH205" s="35">
        <f>G205*AO205</f>
        <v>0</v>
      </c>
      <c r="BI205" s="35">
        <f>G205*AP205</f>
        <v>0</v>
      </c>
      <c r="BJ205" s="35">
        <f>G205*H205</f>
        <v>0</v>
      </c>
      <c r="BK205" s="35"/>
      <c r="BL205" s="35">
        <v>57</v>
      </c>
      <c r="BW205" s="35" t="str">
        <f>I205</f>
        <v>21</v>
      </c>
      <c r="BX205" s="4" t="s">
        <v>418</v>
      </c>
    </row>
    <row r="206" spans="1:76" ht="13.5" customHeight="1" x14ac:dyDescent="0.4">
      <c r="A206" s="38"/>
      <c r="C206" s="43" t="s">
        <v>82</v>
      </c>
      <c r="D206" s="94" t="s">
        <v>419</v>
      </c>
      <c r="E206" s="95"/>
      <c r="F206" s="95"/>
      <c r="G206" s="95"/>
      <c r="H206" s="95"/>
      <c r="I206" s="95"/>
      <c r="J206" s="95"/>
      <c r="K206" s="95"/>
      <c r="L206" s="95"/>
      <c r="M206" s="95"/>
      <c r="N206" s="95"/>
      <c r="O206" s="95"/>
      <c r="P206" s="96"/>
    </row>
    <row r="207" spans="1:76" ht="14.6" x14ac:dyDescent="0.4">
      <c r="A207" s="38"/>
      <c r="D207" s="39" t="s">
        <v>414</v>
      </c>
      <c r="E207" s="40" t="s">
        <v>56</v>
      </c>
      <c r="G207" s="41">
        <v>174.5</v>
      </c>
      <c r="P207" s="42"/>
    </row>
    <row r="208" spans="1:76" ht="14.6" x14ac:dyDescent="0.4">
      <c r="A208" s="31" t="s">
        <v>56</v>
      </c>
      <c r="B208" s="32" t="s">
        <v>382</v>
      </c>
      <c r="C208" s="32" t="s">
        <v>256</v>
      </c>
      <c r="D208" s="89" t="s">
        <v>257</v>
      </c>
      <c r="E208" s="90"/>
      <c r="F208" s="33" t="s">
        <v>4</v>
      </c>
      <c r="G208" s="33" t="s">
        <v>4</v>
      </c>
      <c r="H208" s="33" t="s">
        <v>4</v>
      </c>
      <c r="I208" s="33" t="s">
        <v>4</v>
      </c>
      <c r="J208" s="1">
        <f>SUM(J209:J210)</f>
        <v>0</v>
      </c>
      <c r="K208" s="1">
        <f>SUM(K209:K210)</f>
        <v>0</v>
      </c>
      <c r="L208" s="1">
        <f>SUM(L209:L210)</f>
        <v>0</v>
      </c>
      <c r="M208" s="1">
        <f>SUM(M209:M210)</f>
        <v>0</v>
      </c>
      <c r="N208" s="12" t="s">
        <v>56</v>
      </c>
      <c r="O208" s="1">
        <f>SUM(O209:O210)</f>
        <v>0.86475999999999997</v>
      </c>
      <c r="P208" s="34" t="s">
        <v>56</v>
      </c>
      <c r="AI208" s="12" t="s">
        <v>382</v>
      </c>
      <c r="AS208" s="1">
        <f>SUM(AJ209:AJ210)</f>
        <v>0</v>
      </c>
      <c r="AT208" s="1">
        <f>SUM(AK209:AK210)</f>
        <v>0</v>
      </c>
      <c r="AU208" s="1">
        <f>SUM(AL209:AL210)</f>
        <v>0</v>
      </c>
    </row>
    <row r="209" spans="1:76" ht="14.6" x14ac:dyDescent="0.4">
      <c r="A209" s="2" t="s">
        <v>420</v>
      </c>
      <c r="B209" s="3" t="s">
        <v>382</v>
      </c>
      <c r="C209" s="3" t="s">
        <v>268</v>
      </c>
      <c r="D209" s="84" t="s">
        <v>269</v>
      </c>
      <c r="E209" s="85"/>
      <c r="F209" s="3" t="s">
        <v>133</v>
      </c>
      <c r="G209" s="35">
        <v>1</v>
      </c>
      <c r="H209" s="82"/>
      <c r="I209" s="36" t="s">
        <v>65</v>
      </c>
      <c r="J209" s="35">
        <f>G209*AO209</f>
        <v>0</v>
      </c>
      <c r="K209" s="35">
        <f>G209*AP209</f>
        <v>0</v>
      </c>
      <c r="L209" s="35">
        <f>G209*H209</f>
        <v>0</v>
      </c>
      <c r="M209" s="35">
        <f>L209*(1+BW209/100)</f>
        <v>0</v>
      </c>
      <c r="N209" s="35">
        <v>0.43381999999999998</v>
      </c>
      <c r="O209" s="35">
        <f>G209*N209</f>
        <v>0.43381999999999998</v>
      </c>
      <c r="P209" s="37" t="s">
        <v>66</v>
      </c>
      <c r="Z209" s="35">
        <f>IF(AQ209="5",BJ209,0)</f>
        <v>0</v>
      </c>
      <c r="AB209" s="35">
        <f>IF(AQ209="1",BH209,0)</f>
        <v>0</v>
      </c>
      <c r="AC209" s="35">
        <f>IF(AQ209="1",BI209,0)</f>
        <v>0</v>
      </c>
      <c r="AD209" s="35">
        <f>IF(AQ209="7",BH209,0)</f>
        <v>0</v>
      </c>
      <c r="AE209" s="35">
        <f>IF(AQ209="7",BI209,0)</f>
        <v>0</v>
      </c>
      <c r="AF209" s="35">
        <f>IF(AQ209="2",BH209,0)</f>
        <v>0</v>
      </c>
      <c r="AG209" s="35">
        <f>IF(AQ209="2",BI209,0)</f>
        <v>0</v>
      </c>
      <c r="AH209" s="35">
        <f>IF(AQ209="0",BJ209,0)</f>
        <v>0</v>
      </c>
      <c r="AI209" s="12" t="s">
        <v>382</v>
      </c>
      <c r="AJ209" s="35">
        <f>IF(AN209=0,L209,0)</f>
        <v>0</v>
      </c>
      <c r="AK209" s="35">
        <f>IF(AN209=12,L209,0)</f>
        <v>0</v>
      </c>
      <c r="AL209" s="35">
        <f>IF(AN209=21,L209,0)</f>
        <v>0</v>
      </c>
      <c r="AN209" s="35">
        <v>21</v>
      </c>
      <c r="AO209" s="35">
        <f>H209*0.346198319</f>
        <v>0</v>
      </c>
      <c r="AP209" s="35">
        <f>H209*(1-0.346198319)</f>
        <v>0</v>
      </c>
      <c r="AQ209" s="36" t="s">
        <v>61</v>
      </c>
      <c r="AV209" s="35">
        <f>AW209+AX209</f>
        <v>0</v>
      </c>
      <c r="AW209" s="35">
        <f>G209*AO209</f>
        <v>0</v>
      </c>
      <c r="AX209" s="35">
        <f>G209*AP209</f>
        <v>0</v>
      </c>
      <c r="AY209" s="36" t="s">
        <v>261</v>
      </c>
      <c r="AZ209" s="36" t="s">
        <v>421</v>
      </c>
      <c r="BA209" s="12" t="s">
        <v>388</v>
      </c>
      <c r="BC209" s="35">
        <f>AW209+AX209</f>
        <v>0</v>
      </c>
      <c r="BD209" s="35">
        <f>H209/(100-BE209)*100</f>
        <v>0</v>
      </c>
      <c r="BE209" s="35">
        <v>0</v>
      </c>
      <c r="BF209" s="35">
        <f>O209</f>
        <v>0.43381999999999998</v>
      </c>
      <c r="BH209" s="35">
        <f>G209*AO209</f>
        <v>0</v>
      </c>
      <c r="BI209" s="35">
        <f>G209*AP209</f>
        <v>0</v>
      </c>
      <c r="BJ209" s="35">
        <f>G209*H209</f>
        <v>0</v>
      </c>
      <c r="BK209" s="35"/>
      <c r="BL209" s="35">
        <v>89</v>
      </c>
      <c r="BW209" s="35" t="str">
        <f>I209</f>
        <v>21</v>
      </c>
      <c r="BX209" s="4" t="s">
        <v>269</v>
      </c>
    </row>
    <row r="210" spans="1:76" ht="14.6" x14ac:dyDescent="0.4">
      <c r="A210" s="2" t="s">
        <v>422</v>
      </c>
      <c r="B210" s="3" t="s">
        <v>382</v>
      </c>
      <c r="C210" s="3" t="s">
        <v>271</v>
      </c>
      <c r="D210" s="84" t="s">
        <v>272</v>
      </c>
      <c r="E210" s="85"/>
      <c r="F210" s="3" t="s">
        <v>133</v>
      </c>
      <c r="G210" s="35">
        <v>1</v>
      </c>
      <c r="H210" s="82"/>
      <c r="I210" s="36" t="s">
        <v>65</v>
      </c>
      <c r="J210" s="35">
        <f>G210*AO210</f>
        <v>0</v>
      </c>
      <c r="K210" s="35">
        <f>G210*AP210</f>
        <v>0</v>
      </c>
      <c r="L210" s="35">
        <f>G210*H210</f>
        <v>0</v>
      </c>
      <c r="M210" s="35">
        <f>L210*(1+BW210/100)</f>
        <v>0</v>
      </c>
      <c r="N210" s="35">
        <v>0.43093999999999999</v>
      </c>
      <c r="O210" s="35">
        <f>G210*N210</f>
        <v>0.43093999999999999</v>
      </c>
      <c r="P210" s="37" t="s">
        <v>66</v>
      </c>
      <c r="Z210" s="35">
        <f>IF(AQ210="5",BJ210,0)</f>
        <v>0</v>
      </c>
      <c r="AB210" s="35">
        <f>IF(AQ210="1",BH210,0)</f>
        <v>0</v>
      </c>
      <c r="AC210" s="35">
        <f>IF(AQ210="1",BI210,0)</f>
        <v>0</v>
      </c>
      <c r="AD210" s="35">
        <f>IF(AQ210="7",BH210,0)</f>
        <v>0</v>
      </c>
      <c r="AE210" s="35">
        <f>IF(AQ210="7",BI210,0)</f>
        <v>0</v>
      </c>
      <c r="AF210" s="35">
        <f>IF(AQ210="2",BH210,0)</f>
        <v>0</v>
      </c>
      <c r="AG210" s="35">
        <f>IF(AQ210="2",BI210,0)</f>
        <v>0</v>
      </c>
      <c r="AH210" s="35">
        <f>IF(AQ210="0",BJ210,0)</f>
        <v>0</v>
      </c>
      <c r="AI210" s="12" t="s">
        <v>382</v>
      </c>
      <c r="AJ210" s="35">
        <f>IF(AN210=0,L210,0)</f>
        <v>0</v>
      </c>
      <c r="AK210" s="35">
        <f>IF(AN210=12,L210,0)</f>
        <v>0</v>
      </c>
      <c r="AL210" s="35">
        <f>IF(AN210=21,L210,0)</f>
        <v>0</v>
      </c>
      <c r="AN210" s="35">
        <v>21</v>
      </c>
      <c r="AO210" s="35">
        <f>H210*0.323783217</f>
        <v>0</v>
      </c>
      <c r="AP210" s="35">
        <f>H210*(1-0.323783217)</f>
        <v>0</v>
      </c>
      <c r="AQ210" s="36" t="s">
        <v>61</v>
      </c>
      <c r="AV210" s="35">
        <f>AW210+AX210</f>
        <v>0</v>
      </c>
      <c r="AW210" s="35">
        <f>G210*AO210</f>
        <v>0</v>
      </c>
      <c r="AX210" s="35">
        <f>G210*AP210</f>
        <v>0</v>
      </c>
      <c r="AY210" s="36" t="s">
        <v>261</v>
      </c>
      <c r="AZ210" s="36" t="s">
        <v>421</v>
      </c>
      <c r="BA210" s="12" t="s">
        <v>388</v>
      </c>
      <c r="BC210" s="35">
        <f>AW210+AX210</f>
        <v>0</v>
      </c>
      <c r="BD210" s="35">
        <f>H210/(100-BE210)*100</f>
        <v>0</v>
      </c>
      <c r="BE210" s="35">
        <v>0</v>
      </c>
      <c r="BF210" s="35">
        <f>O210</f>
        <v>0.43093999999999999</v>
      </c>
      <c r="BH210" s="35">
        <f>G210*AO210</f>
        <v>0</v>
      </c>
      <c r="BI210" s="35">
        <f>G210*AP210</f>
        <v>0</v>
      </c>
      <c r="BJ210" s="35">
        <f>G210*H210</f>
        <v>0</v>
      </c>
      <c r="BK210" s="35"/>
      <c r="BL210" s="35">
        <v>89</v>
      </c>
      <c r="BW210" s="35" t="str">
        <f>I210</f>
        <v>21</v>
      </c>
      <c r="BX210" s="4" t="s">
        <v>272</v>
      </c>
    </row>
    <row r="211" spans="1:76" ht="14.6" x14ac:dyDescent="0.4">
      <c r="A211" s="31" t="s">
        <v>56</v>
      </c>
      <c r="B211" s="32" t="s">
        <v>382</v>
      </c>
      <c r="C211" s="32" t="s">
        <v>273</v>
      </c>
      <c r="D211" s="89" t="s">
        <v>274</v>
      </c>
      <c r="E211" s="90"/>
      <c r="F211" s="33" t="s">
        <v>4</v>
      </c>
      <c r="G211" s="33" t="s">
        <v>4</v>
      </c>
      <c r="H211" s="33" t="s">
        <v>4</v>
      </c>
      <c r="I211" s="33" t="s">
        <v>4</v>
      </c>
      <c r="J211" s="1">
        <f>SUM(J212:J215)</f>
        <v>0</v>
      </c>
      <c r="K211" s="1">
        <f>SUM(K212:K215)</f>
        <v>0</v>
      </c>
      <c r="L211" s="1">
        <f>SUM(L212:L215)</f>
        <v>0</v>
      </c>
      <c r="M211" s="1">
        <f>SUM(M212:M215)</f>
        <v>0</v>
      </c>
      <c r="N211" s="12" t="s">
        <v>56</v>
      </c>
      <c r="O211" s="1">
        <f>SUM(O212:O215)</f>
        <v>5.9581199999999992</v>
      </c>
      <c r="P211" s="34" t="s">
        <v>56</v>
      </c>
      <c r="AI211" s="12" t="s">
        <v>382</v>
      </c>
      <c r="AS211" s="1">
        <f>SUM(AJ212:AJ215)</f>
        <v>0</v>
      </c>
      <c r="AT211" s="1">
        <f>SUM(AK212:AK215)</f>
        <v>0</v>
      </c>
      <c r="AU211" s="1">
        <f>SUM(AL212:AL215)</f>
        <v>0</v>
      </c>
    </row>
    <row r="212" spans="1:76" ht="14.6" x14ac:dyDescent="0.4">
      <c r="A212" s="2" t="s">
        <v>241</v>
      </c>
      <c r="B212" s="3" t="s">
        <v>382</v>
      </c>
      <c r="C212" s="3" t="s">
        <v>286</v>
      </c>
      <c r="D212" s="84" t="s">
        <v>287</v>
      </c>
      <c r="E212" s="85"/>
      <c r="F212" s="3" t="s">
        <v>98</v>
      </c>
      <c r="G212" s="35">
        <v>38</v>
      </c>
      <c r="H212" s="82"/>
      <c r="I212" s="36" t="s">
        <v>65</v>
      </c>
      <c r="J212" s="35">
        <f>G212*AO212</f>
        <v>0</v>
      </c>
      <c r="K212" s="35">
        <f>G212*AP212</f>
        <v>0</v>
      </c>
      <c r="L212" s="35">
        <f>G212*H212</f>
        <v>0</v>
      </c>
      <c r="M212" s="35">
        <f>L212*(1+BW212/100)</f>
        <v>0</v>
      </c>
      <c r="N212" s="35">
        <v>0.15673999999999999</v>
      </c>
      <c r="O212" s="35">
        <f>G212*N212</f>
        <v>5.9561199999999994</v>
      </c>
      <c r="P212" s="37" t="s">
        <v>66</v>
      </c>
      <c r="Z212" s="35">
        <f>IF(AQ212="5",BJ212,0)</f>
        <v>0</v>
      </c>
      <c r="AB212" s="35">
        <f>IF(AQ212="1",BH212,0)</f>
        <v>0</v>
      </c>
      <c r="AC212" s="35">
        <f>IF(AQ212="1",BI212,0)</f>
        <v>0</v>
      </c>
      <c r="AD212" s="35">
        <f>IF(AQ212="7",BH212,0)</f>
        <v>0</v>
      </c>
      <c r="AE212" s="35">
        <f>IF(AQ212="7",BI212,0)</f>
        <v>0</v>
      </c>
      <c r="AF212" s="35">
        <f>IF(AQ212="2",BH212,0)</f>
        <v>0</v>
      </c>
      <c r="AG212" s="35">
        <f>IF(AQ212="2",BI212,0)</f>
        <v>0</v>
      </c>
      <c r="AH212" s="35">
        <f>IF(AQ212="0",BJ212,0)</f>
        <v>0</v>
      </c>
      <c r="AI212" s="12" t="s">
        <v>382</v>
      </c>
      <c r="AJ212" s="35">
        <f>IF(AN212=0,L212,0)</f>
        <v>0</v>
      </c>
      <c r="AK212" s="35">
        <f>IF(AN212=12,L212,0)</f>
        <v>0</v>
      </c>
      <c r="AL212" s="35">
        <f>IF(AN212=21,L212,0)</f>
        <v>0</v>
      </c>
      <c r="AN212" s="35">
        <v>21</v>
      </c>
      <c r="AO212" s="35">
        <f>H212*0.531457431</f>
        <v>0</v>
      </c>
      <c r="AP212" s="35">
        <f>H212*(1-0.531457431)</f>
        <v>0</v>
      </c>
      <c r="AQ212" s="36" t="s">
        <v>61</v>
      </c>
      <c r="AV212" s="35">
        <f>AW212+AX212</f>
        <v>0</v>
      </c>
      <c r="AW212" s="35">
        <f>G212*AO212</f>
        <v>0</v>
      </c>
      <c r="AX212" s="35">
        <f>G212*AP212</f>
        <v>0</v>
      </c>
      <c r="AY212" s="36" t="s">
        <v>278</v>
      </c>
      <c r="AZ212" s="36" t="s">
        <v>423</v>
      </c>
      <c r="BA212" s="12" t="s">
        <v>388</v>
      </c>
      <c r="BC212" s="35">
        <f>AW212+AX212</f>
        <v>0</v>
      </c>
      <c r="BD212" s="35">
        <f>H212/(100-BE212)*100</f>
        <v>0</v>
      </c>
      <c r="BE212" s="35">
        <v>0</v>
      </c>
      <c r="BF212" s="35">
        <f>O212</f>
        <v>5.9561199999999994</v>
      </c>
      <c r="BH212" s="35">
        <f>G212*AO212</f>
        <v>0</v>
      </c>
      <c r="BI212" s="35">
        <f>G212*AP212</f>
        <v>0</v>
      </c>
      <c r="BJ212" s="35">
        <f>G212*H212</f>
        <v>0</v>
      </c>
      <c r="BK212" s="35"/>
      <c r="BL212" s="35">
        <v>91</v>
      </c>
      <c r="BW212" s="35" t="str">
        <f>I212</f>
        <v>21</v>
      </c>
      <c r="BX212" s="4" t="s">
        <v>287</v>
      </c>
    </row>
    <row r="213" spans="1:76" ht="14.6" x14ac:dyDescent="0.4">
      <c r="A213" s="2" t="s">
        <v>424</v>
      </c>
      <c r="B213" s="3" t="s">
        <v>382</v>
      </c>
      <c r="C213" s="3" t="s">
        <v>295</v>
      </c>
      <c r="D213" s="84" t="s">
        <v>296</v>
      </c>
      <c r="E213" s="85"/>
      <c r="F213" s="3" t="s">
        <v>98</v>
      </c>
      <c r="G213" s="35">
        <v>25</v>
      </c>
      <c r="H213" s="82"/>
      <c r="I213" s="36" t="s">
        <v>65</v>
      </c>
      <c r="J213" s="35">
        <f>G213*AO213</f>
        <v>0</v>
      </c>
      <c r="K213" s="35">
        <f>G213*AP213</f>
        <v>0</v>
      </c>
      <c r="L213" s="35">
        <f>G213*H213</f>
        <v>0</v>
      </c>
      <c r="M213" s="35">
        <f>L213*(1+BW213/100)</f>
        <v>0</v>
      </c>
      <c r="N213" s="35">
        <v>0</v>
      </c>
      <c r="O213" s="35">
        <f>G213*N213</f>
        <v>0</v>
      </c>
      <c r="P213" s="37" t="s">
        <v>66</v>
      </c>
      <c r="Z213" s="35">
        <f>IF(AQ213="5",BJ213,0)</f>
        <v>0</v>
      </c>
      <c r="AB213" s="35">
        <f>IF(AQ213="1",BH213,0)</f>
        <v>0</v>
      </c>
      <c r="AC213" s="35">
        <f>IF(AQ213="1",BI213,0)</f>
        <v>0</v>
      </c>
      <c r="AD213" s="35">
        <f>IF(AQ213="7",BH213,0)</f>
        <v>0</v>
      </c>
      <c r="AE213" s="35">
        <f>IF(AQ213="7",BI213,0)</f>
        <v>0</v>
      </c>
      <c r="AF213" s="35">
        <f>IF(AQ213="2",BH213,0)</f>
        <v>0</v>
      </c>
      <c r="AG213" s="35">
        <f>IF(AQ213="2",BI213,0)</f>
        <v>0</v>
      </c>
      <c r="AH213" s="35">
        <f>IF(AQ213="0",BJ213,0)</f>
        <v>0</v>
      </c>
      <c r="AI213" s="12" t="s">
        <v>382</v>
      </c>
      <c r="AJ213" s="35">
        <f>IF(AN213=0,L213,0)</f>
        <v>0</v>
      </c>
      <c r="AK213" s="35">
        <f>IF(AN213=12,L213,0)</f>
        <v>0</v>
      </c>
      <c r="AL213" s="35">
        <f>IF(AN213=21,L213,0)</f>
        <v>0</v>
      </c>
      <c r="AN213" s="35">
        <v>21</v>
      </c>
      <c r="AO213" s="35">
        <f>H213*0.556968496</f>
        <v>0</v>
      </c>
      <c r="AP213" s="35">
        <f>H213*(1-0.556968496)</f>
        <v>0</v>
      </c>
      <c r="AQ213" s="36" t="s">
        <v>61</v>
      </c>
      <c r="AV213" s="35">
        <f>AW213+AX213</f>
        <v>0</v>
      </c>
      <c r="AW213" s="35">
        <f>G213*AO213</f>
        <v>0</v>
      </c>
      <c r="AX213" s="35">
        <f>G213*AP213</f>
        <v>0</v>
      </c>
      <c r="AY213" s="36" t="s">
        <v>278</v>
      </c>
      <c r="AZ213" s="36" t="s">
        <v>423</v>
      </c>
      <c r="BA213" s="12" t="s">
        <v>388</v>
      </c>
      <c r="BC213" s="35">
        <f>AW213+AX213</f>
        <v>0</v>
      </c>
      <c r="BD213" s="35">
        <f>H213/(100-BE213)*100</f>
        <v>0</v>
      </c>
      <c r="BE213" s="35">
        <v>0</v>
      </c>
      <c r="BF213" s="35">
        <f>O213</f>
        <v>0</v>
      </c>
      <c r="BH213" s="35">
        <f>G213*AO213</f>
        <v>0</v>
      </c>
      <c r="BI213" s="35">
        <f>G213*AP213</f>
        <v>0</v>
      </c>
      <c r="BJ213" s="35">
        <f>G213*H213</f>
        <v>0</v>
      </c>
      <c r="BK213" s="35"/>
      <c r="BL213" s="35">
        <v>91</v>
      </c>
      <c r="BW213" s="35" t="str">
        <f>I213</f>
        <v>21</v>
      </c>
      <c r="BX213" s="4" t="s">
        <v>296</v>
      </c>
    </row>
    <row r="214" spans="1:76" ht="14.6" x14ac:dyDescent="0.4">
      <c r="A214" s="2" t="s">
        <v>425</v>
      </c>
      <c r="B214" s="3" t="s">
        <v>382</v>
      </c>
      <c r="C214" s="3" t="s">
        <v>299</v>
      </c>
      <c r="D214" s="84" t="s">
        <v>300</v>
      </c>
      <c r="E214" s="85"/>
      <c r="F214" s="3" t="s">
        <v>64</v>
      </c>
      <c r="G214" s="35">
        <v>200</v>
      </c>
      <c r="H214" s="82"/>
      <c r="I214" s="36" t="s">
        <v>65</v>
      </c>
      <c r="J214" s="35">
        <f>G214*AO214</f>
        <v>0</v>
      </c>
      <c r="K214" s="35">
        <f>G214*AP214</f>
        <v>0</v>
      </c>
      <c r="L214" s="35">
        <f>G214*H214</f>
        <v>0</v>
      </c>
      <c r="M214" s="35">
        <f>L214*(1+BW214/100)</f>
        <v>0</v>
      </c>
      <c r="N214" s="35">
        <v>1.0000000000000001E-5</v>
      </c>
      <c r="O214" s="35">
        <f>G214*N214</f>
        <v>2E-3</v>
      </c>
      <c r="P214" s="37" t="s">
        <v>66</v>
      </c>
      <c r="Z214" s="35">
        <f>IF(AQ214="5",BJ214,0)</f>
        <v>0</v>
      </c>
      <c r="AB214" s="35">
        <f>IF(AQ214="1",BH214,0)</f>
        <v>0</v>
      </c>
      <c r="AC214" s="35">
        <f>IF(AQ214="1",BI214,0)</f>
        <v>0</v>
      </c>
      <c r="AD214" s="35">
        <f>IF(AQ214="7",BH214,0)</f>
        <v>0</v>
      </c>
      <c r="AE214" s="35">
        <f>IF(AQ214="7",BI214,0)</f>
        <v>0</v>
      </c>
      <c r="AF214" s="35">
        <f>IF(AQ214="2",BH214,0)</f>
        <v>0</v>
      </c>
      <c r="AG214" s="35">
        <f>IF(AQ214="2",BI214,0)</f>
        <v>0</v>
      </c>
      <c r="AH214" s="35">
        <f>IF(AQ214="0",BJ214,0)</f>
        <v>0</v>
      </c>
      <c r="AI214" s="12" t="s">
        <v>382</v>
      </c>
      <c r="AJ214" s="35">
        <f>IF(AN214=0,L214,0)</f>
        <v>0</v>
      </c>
      <c r="AK214" s="35">
        <f>IF(AN214=12,L214,0)</f>
        <v>0</v>
      </c>
      <c r="AL214" s="35">
        <f>IF(AN214=21,L214,0)</f>
        <v>0</v>
      </c>
      <c r="AN214" s="35">
        <v>21</v>
      </c>
      <c r="AO214" s="35">
        <f>H214*0.080103359</f>
        <v>0</v>
      </c>
      <c r="AP214" s="35">
        <f>H214*(1-0.080103359)</f>
        <v>0</v>
      </c>
      <c r="AQ214" s="36" t="s">
        <v>61</v>
      </c>
      <c r="AV214" s="35">
        <f>AW214+AX214</f>
        <v>0</v>
      </c>
      <c r="AW214" s="35">
        <f>G214*AO214</f>
        <v>0</v>
      </c>
      <c r="AX214" s="35">
        <f>G214*AP214</f>
        <v>0</v>
      </c>
      <c r="AY214" s="36" t="s">
        <v>278</v>
      </c>
      <c r="AZ214" s="36" t="s">
        <v>423</v>
      </c>
      <c r="BA214" s="12" t="s">
        <v>388</v>
      </c>
      <c r="BC214" s="35">
        <f>AW214+AX214</f>
        <v>0</v>
      </c>
      <c r="BD214" s="35">
        <f>H214/(100-BE214)*100</f>
        <v>0</v>
      </c>
      <c r="BE214" s="35">
        <v>0</v>
      </c>
      <c r="BF214" s="35">
        <f>O214</f>
        <v>2E-3</v>
      </c>
      <c r="BH214" s="35">
        <f>G214*AO214</f>
        <v>0</v>
      </c>
      <c r="BI214" s="35">
        <f>G214*AP214</f>
        <v>0</v>
      </c>
      <c r="BJ214" s="35">
        <f>G214*H214</f>
        <v>0</v>
      </c>
      <c r="BK214" s="35"/>
      <c r="BL214" s="35">
        <v>91</v>
      </c>
      <c r="BW214" s="35" t="str">
        <f>I214</f>
        <v>21</v>
      </c>
      <c r="BX214" s="4" t="s">
        <v>300</v>
      </c>
    </row>
    <row r="215" spans="1:76" ht="14.6" x14ac:dyDescent="0.4">
      <c r="A215" s="2" t="s">
        <v>426</v>
      </c>
      <c r="B215" s="3" t="s">
        <v>382</v>
      </c>
      <c r="C215" s="3" t="s">
        <v>302</v>
      </c>
      <c r="D215" s="84" t="s">
        <v>303</v>
      </c>
      <c r="E215" s="85"/>
      <c r="F215" s="3" t="s">
        <v>98</v>
      </c>
      <c r="G215" s="35">
        <v>32</v>
      </c>
      <c r="H215" s="82"/>
      <c r="I215" s="36" t="s">
        <v>65</v>
      </c>
      <c r="J215" s="35">
        <f>G215*AO215</f>
        <v>0</v>
      </c>
      <c r="K215" s="35">
        <f>G215*AP215</f>
        <v>0</v>
      </c>
      <c r="L215" s="35">
        <f>G215*H215</f>
        <v>0</v>
      </c>
      <c r="M215" s="35">
        <f>L215*(1+BW215/100)</f>
        <v>0</v>
      </c>
      <c r="N215" s="35">
        <v>0</v>
      </c>
      <c r="O215" s="35">
        <f>G215*N215</f>
        <v>0</v>
      </c>
      <c r="P215" s="37" t="s">
        <v>66</v>
      </c>
      <c r="Z215" s="35">
        <f>IF(AQ215="5",BJ215,0)</f>
        <v>0</v>
      </c>
      <c r="AB215" s="35">
        <f>IF(AQ215="1",BH215,0)</f>
        <v>0</v>
      </c>
      <c r="AC215" s="35">
        <f>IF(AQ215="1",BI215,0)</f>
        <v>0</v>
      </c>
      <c r="AD215" s="35">
        <f>IF(AQ215="7",BH215,0)</f>
        <v>0</v>
      </c>
      <c r="AE215" s="35">
        <f>IF(AQ215="7",BI215,0)</f>
        <v>0</v>
      </c>
      <c r="AF215" s="35">
        <f>IF(AQ215="2",BH215,0)</f>
        <v>0</v>
      </c>
      <c r="AG215" s="35">
        <f>IF(AQ215="2",BI215,0)</f>
        <v>0</v>
      </c>
      <c r="AH215" s="35">
        <f>IF(AQ215="0",BJ215,0)</f>
        <v>0</v>
      </c>
      <c r="AI215" s="12" t="s">
        <v>382</v>
      </c>
      <c r="AJ215" s="35">
        <f>IF(AN215=0,L215,0)</f>
        <v>0</v>
      </c>
      <c r="AK215" s="35">
        <f>IF(AN215=12,L215,0)</f>
        <v>0</v>
      </c>
      <c r="AL215" s="35">
        <f>IF(AN215=21,L215,0)</f>
        <v>0</v>
      </c>
      <c r="AN215" s="35">
        <v>21</v>
      </c>
      <c r="AO215" s="35">
        <f>H215*0</f>
        <v>0</v>
      </c>
      <c r="AP215" s="35">
        <f>H215*(1-0)</f>
        <v>0</v>
      </c>
      <c r="AQ215" s="36" t="s">
        <v>61</v>
      </c>
      <c r="AV215" s="35">
        <f>AW215+AX215</f>
        <v>0</v>
      </c>
      <c r="AW215" s="35">
        <f>G215*AO215</f>
        <v>0</v>
      </c>
      <c r="AX215" s="35">
        <f>G215*AP215</f>
        <v>0</v>
      </c>
      <c r="AY215" s="36" t="s">
        <v>278</v>
      </c>
      <c r="AZ215" s="36" t="s">
        <v>423</v>
      </c>
      <c r="BA215" s="12" t="s">
        <v>388</v>
      </c>
      <c r="BC215" s="35">
        <f>AW215+AX215</f>
        <v>0</v>
      </c>
      <c r="BD215" s="35">
        <f>H215/(100-BE215)*100</f>
        <v>0</v>
      </c>
      <c r="BE215" s="35">
        <v>0</v>
      </c>
      <c r="BF215" s="35">
        <f>O215</f>
        <v>0</v>
      </c>
      <c r="BH215" s="35">
        <f>G215*AO215</f>
        <v>0</v>
      </c>
      <c r="BI215" s="35">
        <f>G215*AP215</f>
        <v>0</v>
      </c>
      <c r="BJ215" s="35">
        <f>G215*H215</f>
        <v>0</v>
      </c>
      <c r="BK215" s="35"/>
      <c r="BL215" s="35">
        <v>91</v>
      </c>
      <c r="BW215" s="35" t="str">
        <f>I215</f>
        <v>21</v>
      </c>
      <c r="BX215" s="4" t="s">
        <v>303</v>
      </c>
    </row>
    <row r="216" spans="1:76" ht="14.6" x14ac:dyDescent="0.4">
      <c r="A216" s="31" t="s">
        <v>56</v>
      </c>
      <c r="B216" s="32" t="s">
        <v>382</v>
      </c>
      <c r="C216" s="32" t="s">
        <v>320</v>
      </c>
      <c r="D216" s="89" t="s">
        <v>321</v>
      </c>
      <c r="E216" s="90"/>
      <c r="F216" s="33" t="s">
        <v>4</v>
      </c>
      <c r="G216" s="33" t="s">
        <v>4</v>
      </c>
      <c r="H216" s="33" t="s">
        <v>4</v>
      </c>
      <c r="I216" s="33" t="s">
        <v>4</v>
      </c>
      <c r="J216" s="1">
        <f>SUM(J217:J217)</f>
        <v>0</v>
      </c>
      <c r="K216" s="1">
        <f>SUM(K217:K217)</f>
        <v>0</v>
      </c>
      <c r="L216" s="1">
        <f>SUM(L217:L217)</f>
        <v>0</v>
      </c>
      <c r="M216" s="1">
        <f>SUM(M217:M217)</f>
        <v>0</v>
      </c>
      <c r="N216" s="12" t="s">
        <v>56</v>
      </c>
      <c r="O216" s="1">
        <f>SUM(O217:O217)</f>
        <v>0</v>
      </c>
      <c r="P216" s="34" t="s">
        <v>56</v>
      </c>
      <c r="AI216" s="12" t="s">
        <v>382</v>
      </c>
      <c r="AS216" s="1">
        <f>SUM(AJ217:AJ217)</f>
        <v>0</v>
      </c>
      <c r="AT216" s="1">
        <f>SUM(AK217:AK217)</f>
        <v>0</v>
      </c>
      <c r="AU216" s="1">
        <f>SUM(AL217:AL217)</f>
        <v>0</v>
      </c>
    </row>
    <row r="217" spans="1:76" ht="14.6" x14ac:dyDescent="0.4">
      <c r="A217" s="2" t="s">
        <v>427</v>
      </c>
      <c r="B217" s="3" t="s">
        <v>382</v>
      </c>
      <c r="C217" s="3" t="s">
        <v>323</v>
      </c>
      <c r="D217" s="84" t="s">
        <v>324</v>
      </c>
      <c r="E217" s="85"/>
      <c r="F217" s="3" t="s">
        <v>325</v>
      </c>
      <c r="G217" s="35">
        <v>151.1</v>
      </c>
      <c r="H217" s="82"/>
      <c r="I217" s="36" t="s">
        <v>65</v>
      </c>
      <c r="J217" s="35">
        <f>G217*AO217</f>
        <v>0</v>
      </c>
      <c r="K217" s="35">
        <f>G217*AP217</f>
        <v>0</v>
      </c>
      <c r="L217" s="35">
        <f>G217*H217</f>
        <v>0</v>
      </c>
      <c r="M217" s="35">
        <f>L217*(1+BW217/100)</f>
        <v>0</v>
      </c>
      <c r="N217" s="35">
        <v>0</v>
      </c>
      <c r="O217" s="35">
        <f>G217*N217</f>
        <v>0</v>
      </c>
      <c r="P217" s="37" t="s">
        <v>66</v>
      </c>
      <c r="Z217" s="35">
        <f>IF(AQ217="5",BJ217,0)</f>
        <v>0</v>
      </c>
      <c r="AB217" s="35">
        <f>IF(AQ217="1",BH217,0)</f>
        <v>0</v>
      </c>
      <c r="AC217" s="35">
        <f>IF(AQ217="1",BI217,0)</f>
        <v>0</v>
      </c>
      <c r="AD217" s="35">
        <f>IF(AQ217="7",BH217,0)</f>
        <v>0</v>
      </c>
      <c r="AE217" s="35">
        <f>IF(AQ217="7",BI217,0)</f>
        <v>0</v>
      </c>
      <c r="AF217" s="35">
        <f>IF(AQ217="2",BH217,0)</f>
        <v>0</v>
      </c>
      <c r="AG217" s="35">
        <f>IF(AQ217="2",BI217,0)</f>
        <v>0</v>
      </c>
      <c r="AH217" s="35">
        <f>IF(AQ217="0",BJ217,0)</f>
        <v>0</v>
      </c>
      <c r="AI217" s="12" t="s">
        <v>382</v>
      </c>
      <c r="AJ217" s="35">
        <f>IF(AN217=0,L217,0)</f>
        <v>0</v>
      </c>
      <c r="AK217" s="35">
        <f>IF(AN217=12,L217,0)</f>
        <v>0</v>
      </c>
      <c r="AL217" s="35">
        <f>IF(AN217=21,L217,0)</f>
        <v>0</v>
      </c>
      <c r="AN217" s="35">
        <v>21</v>
      </c>
      <c r="AO217" s="35">
        <f>H217*0</f>
        <v>0</v>
      </c>
      <c r="AP217" s="35">
        <f>H217*(1-0)</f>
        <v>0</v>
      </c>
      <c r="AQ217" s="36" t="s">
        <v>87</v>
      </c>
      <c r="AV217" s="35">
        <f>AW217+AX217</f>
        <v>0</v>
      </c>
      <c r="AW217" s="35">
        <f>G217*AO217</f>
        <v>0</v>
      </c>
      <c r="AX217" s="35">
        <f>G217*AP217</f>
        <v>0</v>
      </c>
      <c r="AY217" s="36" t="s">
        <v>326</v>
      </c>
      <c r="AZ217" s="36" t="s">
        <v>423</v>
      </c>
      <c r="BA217" s="12" t="s">
        <v>388</v>
      </c>
      <c r="BC217" s="35">
        <f>AW217+AX217</f>
        <v>0</v>
      </c>
      <c r="BD217" s="35">
        <f>H217/(100-BE217)*100</f>
        <v>0</v>
      </c>
      <c r="BE217" s="35">
        <v>0</v>
      </c>
      <c r="BF217" s="35">
        <f>O217</f>
        <v>0</v>
      </c>
      <c r="BH217" s="35">
        <f>G217*AO217</f>
        <v>0</v>
      </c>
      <c r="BI217" s="35">
        <f>G217*AP217</f>
        <v>0</v>
      </c>
      <c r="BJ217" s="35">
        <f>G217*H217</f>
        <v>0</v>
      </c>
      <c r="BK217" s="35"/>
      <c r="BL217" s="35"/>
      <c r="BW217" s="35" t="str">
        <f>I217</f>
        <v>21</v>
      </c>
      <c r="BX217" s="4" t="s">
        <v>324</v>
      </c>
    </row>
    <row r="218" spans="1:76" ht="14.6" x14ac:dyDescent="0.4">
      <c r="A218" s="38"/>
      <c r="D218" s="39" t="s">
        <v>428</v>
      </c>
      <c r="E218" s="40" t="s">
        <v>56</v>
      </c>
      <c r="G218" s="41">
        <v>151.1</v>
      </c>
      <c r="P218" s="42"/>
    </row>
    <row r="219" spans="1:76" ht="14.6" x14ac:dyDescent="0.4">
      <c r="A219" s="31" t="s">
        <v>56</v>
      </c>
      <c r="B219" s="32" t="s">
        <v>382</v>
      </c>
      <c r="C219" s="32" t="s">
        <v>328</v>
      </c>
      <c r="D219" s="89" t="s">
        <v>329</v>
      </c>
      <c r="E219" s="90"/>
      <c r="F219" s="33" t="s">
        <v>4</v>
      </c>
      <c r="G219" s="33" t="s">
        <v>4</v>
      </c>
      <c r="H219" s="33" t="s">
        <v>4</v>
      </c>
      <c r="I219" s="33" t="s">
        <v>4</v>
      </c>
      <c r="J219" s="1">
        <f>SUM(J220:J225)</f>
        <v>0</v>
      </c>
      <c r="K219" s="1">
        <f>SUM(K220:K225)</f>
        <v>0</v>
      </c>
      <c r="L219" s="1">
        <f>SUM(L220:L225)</f>
        <v>0</v>
      </c>
      <c r="M219" s="1">
        <f>SUM(M220:M225)</f>
        <v>0</v>
      </c>
      <c r="N219" s="12" t="s">
        <v>56</v>
      </c>
      <c r="O219" s="1">
        <f>SUM(O220:O225)</f>
        <v>0</v>
      </c>
      <c r="P219" s="34" t="s">
        <v>56</v>
      </c>
      <c r="AI219" s="12" t="s">
        <v>382</v>
      </c>
      <c r="AS219" s="1">
        <f>SUM(AJ220:AJ225)</f>
        <v>0</v>
      </c>
      <c r="AT219" s="1">
        <f>SUM(AK220:AK225)</f>
        <v>0</v>
      </c>
      <c r="AU219" s="1">
        <f>SUM(AL220:AL225)</f>
        <v>0</v>
      </c>
    </row>
    <row r="220" spans="1:76" ht="14.6" x14ac:dyDescent="0.4">
      <c r="A220" s="2" t="s">
        <v>429</v>
      </c>
      <c r="B220" s="3" t="s">
        <v>382</v>
      </c>
      <c r="C220" s="3" t="s">
        <v>331</v>
      </c>
      <c r="D220" s="84" t="s">
        <v>332</v>
      </c>
      <c r="E220" s="85"/>
      <c r="F220" s="3" t="s">
        <v>325</v>
      </c>
      <c r="G220" s="35">
        <v>137.80000000000001</v>
      </c>
      <c r="H220" s="82"/>
      <c r="I220" s="36" t="s">
        <v>65</v>
      </c>
      <c r="J220" s="35">
        <f>G220*AO220</f>
        <v>0</v>
      </c>
      <c r="K220" s="35">
        <f>G220*AP220</f>
        <v>0</v>
      </c>
      <c r="L220" s="35">
        <f>G220*H220</f>
        <v>0</v>
      </c>
      <c r="M220" s="35">
        <f>L220*(1+BW220/100)</f>
        <v>0</v>
      </c>
      <c r="N220" s="35">
        <v>0</v>
      </c>
      <c r="O220" s="35">
        <f>G220*N220</f>
        <v>0</v>
      </c>
      <c r="P220" s="37" t="s">
        <v>66</v>
      </c>
      <c r="Z220" s="35">
        <f>IF(AQ220="5",BJ220,0)</f>
        <v>0</v>
      </c>
      <c r="AB220" s="35">
        <f>IF(AQ220="1",BH220,0)</f>
        <v>0</v>
      </c>
      <c r="AC220" s="35">
        <f>IF(AQ220="1",BI220,0)</f>
        <v>0</v>
      </c>
      <c r="AD220" s="35">
        <f>IF(AQ220="7",BH220,0)</f>
        <v>0</v>
      </c>
      <c r="AE220" s="35">
        <f>IF(AQ220="7",BI220,0)</f>
        <v>0</v>
      </c>
      <c r="AF220" s="35">
        <f>IF(AQ220="2",BH220,0)</f>
        <v>0</v>
      </c>
      <c r="AG220" s="35">
        <f>IF(AQ220="2",BI220,0)</f>
        <v>0</v>
      </c>
      <c r="AH220" s="35">
        <f>IF(AQ220="0",BJ220,0)</f>
        <v>0</v>
      </c>
      <c r="AI220" s="12" t="s">
        <v>382</v>
      </c>
      <c r="AJ220" s="35">
        <f>IF(AN220=0,L220,0)</f>
        <v>0</v>
      </c>
      <c r="AK220" s="35">
        <f>IF(AN220=12,L220,0)</f>
        <v>0</v>
      </c>
      <c r="AL220" s="35">
        <f>IF(AN220=21,L220,0)</f>
        <v>0</v>
      </c>
      <c r="AN220" s="35">
        <v>21</v>
      </c>
      <c r="AO220" s="35">
        <f>H220*0</f>
        <v>0</v>
      </c>
      <c r="AP220" s="35">
        <f>H220*(1-0)</f>
        <v>0</v>
      </c>
      <c r="AQ220" s="36" t="s">
        <v>87</v>
      </c>
      <c r="AV220" s="35">
        <f>AW220+AX220</f>
        <v>0</v>
      </c>
      <c r="AW220" s="35">
        <f>G220*AO220</f>
        <v>0</v>
      </c>
      <c r="AX220" s="35">
        <f>G220*AP220</f>
        <v>0</v>
      </c>
      <c r="AY220" s="36" t="s">
        <v>333</v>
      </c>
      <c r="AZ220" s="36" t="s">
        <v>423</v>
      </c>
      <c r="BA220" s="12" t="s">
        <v>388</v>
      </c>
      <c r="BC220" s="35">
        <f>AW220+AX220</f>
        <v>0</v>
      </c>
      <c r="BD220" s="35">
        <f>H220/(100-BE220)*100</f>
        <v>0</v>
      </c>
      <c r="BE220" s="35">
        <v>0</v>
      </c>
      <c r="BF220" s="35">
        <f>O220</f>
        <v>0</v>
      </c>
      <c r="BH220" s="35">
        <f>G220*AO220</f>
        <v>0</v>
      </c>
      <c r="BI220" s="35">
        <f>G220*AP220</f>
        <v>0</v>
      </c>
      <c r="BJ220" s="35">
        <f>G220*H220</f>
        <v>0</v>
      </c>
      <c r="BK220" s="35"/>
      <c r="BL220" s="35"/>
      <c r="BW220" s="35" t="str">
        <f>I220</f>
        <v>21</v>
      </c>
      <c r="BX220" s="4" t="s">
        <v>332</v>
      </c>
    </row>
    <row r="221" spans="1:76" ht="14.6" x14ac:dyDescent="0.4">
      <c r="A221" s="38"/>
      <c r="D221" s="39" t="s">
        <v>430</v>
      </c>
      <c r="E221" s="40" t="s">
        <v>56</v>
      </c>
      <c r="G221" s="41">
        <v>137.80000000000001</v>
      </c>
      <c r="P221" s="42"/>
    </row>
    <row r="222" spans="1:76" ht="14.6" x14ac:dyDescent="0.4">
      <c r="A222" s="2" t="s">
        <v>256</v>
      </c>
      <c r="B222" s="3" t="s">
        <v>382</v>
      </c>
      <c r="C222" s="3" t="s">
        <v>336</v>
      </c>
      <c r="D222" s="84" t="s">
        <v>337</v>
      </c>
      <c r="E222" s="85"/>
      <c r="F222" s="3" t="s">
        <v>325</v>
      </c>
      <c r="G222" s="35">
        <v>1240.2</v>
      </c>
      <c r="H222" s="82"/>
      <c r="I222" s="36" t="s">
        <v>65</v>
      </c>
      <c r="J222" s="35">
        <f>G222*AO222</f>
        <v>0</v>
      </c>
      <c r="K222" s="35">
        <f>G222*AP222</f>
        <v>0</v>
      </c>
      <c r="L222" s="35">
        <f>G222*H222</f>
        <v>0</v>
      </c>
      <c r="M222" s="35">
        <f>L222*(1+BW222/100)</f>
        <v>0</v>
      </c>
      <c r="N222" s="35">
        <v>0</v>
      </c>
      <c r="O222" s="35">
        <f>G222*N222</f>
        <v>0</v>
      </c>
      <c r="P222" s="37" t="s">
        <v>66</v>
      </c>
      <c r="Z222" s="35">
        <f>IF(AQ222="5",BJ222,0)</f>
        <v>0</v>
      </c>
      <c r="AB222" s="35">
        <f>IF(AQ222="1",BH222,0)</f>
        <v>0</v>
      </c>
      <c r="AC222" s="35">
        <f>IF(AQ222="1",BI222,0)</f>
        <v>0</v>
      </c>
      <c r="AD222" s="35">
        <f>IF(AQ222="7",BH222,0)</f>
        <v>0</v>
      </c>
      <c r="AE222" s="35">
        <f>IF(AQ222="7",BI222,0)</f>
        <v>0</v>
      </c>
      <c r="AF222" s="35">
        <f>IF(AQ222="2",BH222,0)</f>
        <v>0</v>
      </c>
      <c r="AG222" s="35">
        <f>IF(AQ222="2",BI222,0)</f>
        <v>0</v>
      </c>
      <c r="AH222" s="35">
        <f>IF(AQ222="0",BJ222,0)</f>
        <v>0</v>
      </c>
      <c r="AI222" s="12" t="s">
        <v>382</v>
      </c>
      <c r="AJ222" s="35">
        <f>IF(AN222=0,L222,0)</f>
        <v>0</v>
      </c>
      <c r="AK222" s="35">
        <f>IF(AN222=12,L222,0)</f>
        <v>0</v>
      </c>
      <c r="AL222" s="35">
        <f>IF(AN222=21,L222,0)</f>
        <v>0</v>
      </c>
      <c r="AN222" s="35">
        <v>21</v>
      </c>
      <c r="AO222" s="35">
        <f>H222*0</f>
        <v>0</v>
      </c>
      <c r="AP222" s="35">
        <f>H222*(1-0)</f>
        <v>0</v>
      </c>
      <c r="AQ222" s="36" t="s">
        <v>87</v>
      </c>
      <c r="AV222" s="35">
        <f>AW222+AX222</f>
        <v>0</v>
      </c>
      <c r="AW222" s="35">
        <f>G222*AO222</f>
        <v>0</v>
      </c>
      <c r="AX222" s="35">
        <f>G222*AP222</f>
        <v>0</v>
      </c>
      <c r="AY222" s="36" t="s">
        <v>333</v>
      </c>
      <c r="AZ222" s="36" t="s">
        <v>423</v>
      </c>
      <c r="BA222" s="12" t="s">
        <v>388</v>
      </c>
      <c r="BC222" s="35">
        <f>AW222+AX222</f>
        <v>0</v>
      </c>
      <c r="BD222" s="35">
        <f>H222/(100-BE222)*100</f>
        <v>0</v>
      </c>
      <c r="BE222" s="35">
        <v>0</v>
      </c>
      <c r="BF222" s="35">
        <f>O222</f>
        <v>0</v>
      </c>
      <c r="BH222" s="35">
        <f>G222*AO222</f>
        <v>0</v>
      </c>
      <c r="BI222" s="35">
        <f>G222*AP222</f>
        <v>0</v>
      </c>
      <c r="BJ222" s="35">
        <f>G222*H222</f>
        <v>0</v>
      </c>
      <c r="BK222" s="35"/>
      <c r="BL222" s="35"/>
      <c r="BW222" s="35" t="str">
        <f>I222</f>
        <v>21</v>
      </c>
      <c r="BX222" s="4" t="s">
        <v>337</v>
      </c>
    </row>
    <row r="223" spans="1:76" ht="14.6" x14ac:dyDescent="0.4">
      <c r="A223" s="38"/>
      <c r="D223" s="39" t="s">
        <v>431</v>
      </c>
      <c r="E223" s="40" t="s">
        <v>56</v>
      </c>
      <c r="G223" s="41">
        <v>1240.2</v>
      </c>
      <c r="P223" s="42"/>
    </row>
    <row r="224" spans="1:76" ht="13.5" customHeight="1" x14ac:dyDescent="0.4">
      <c r="A224" s="38"/>
      <c r="C224" s="44" t="s">
        <v>85</v>
      </c>
      <c r="D224" s="86" t="s">
        <v>339</v>
      </c>
      <c r="E224" s="87"/>
      <c r="F224" s="87"/>
      <c r="G224" s="87"/>
      <c r="H224" s="87"/>
      <c r="I224" s="87"/>
      <c r="J224" s="87"/>
      <c r="K224" s="87"/>
      <c r="L224" s="87"/>
      <c r="M224" s="87"/>
      <c r="N224" s="87"/>
      <c r="O224" s="87"/>
      <c r="P224" s="88"/>
    </row>
    <row r="225" spans="1:76" ht="14.6" x14ac:dyDescent="0.4">
      <c r="A225" s="2" t="s">
        <v>432</v>
      </c>
      <c r="B225" s="3" t="s">
        <v>382</v>
      </c>
      <c r="C225" s="3" t="s">
        <v>349</v>
      </c>
      <c r="D225" s="84" t="s">
        <v>350</v>
      </c>
      <c r="E225" s="85"/>
      <c r="F225" s="3" t="s">
        <v>325</v>
      </c>
      <c r="G225" s="35">
        <v>137.80000000000001</v>
      </c>
      <c r="H225" s="82"/>
      <c r="I225" s="36" t="s">
        <v>65</v>
      </c>
      <c r="J225" s="35">
        <f>G225*AO225</f>
        <v>0</v>
      </c>
      <c r="K225" s="35">
        <f>G225*AP225</f>
        <v>0</v>
      </c>
      <c r="L225" s="35">
        <f>G225*H225</f>
        <v>0</v>
      </c>
      <c r="M225" s="35">
        <f>L225*(1+BW225/100)</f>
        <v>0</v>
      </c>
      <c r="N225" s="35">
        <v>0</v>
      </c>
      <c r="O225" s="35">
        <f>G225*N225</f>
        <v>0</v>
      </c>
      <c r="P225" s="37" t="s">
        <v>66</v>
      </c>
      <c r="Z225" s="35">
        <f>IF(AQ225="5",BJ225,0)</f>
        <v>0</v>
      </c>
      <c r="AB225" s="35">
        <f>IF(AQ225="1",BH225,0)</f>
        <v>0</v>
      </c>
      <c r="AC225" s="35">
        <f>IF(AQ225="1",BI225,0)</f>
        <v>0</v>
      </c>
      <c r="AD225" s="35">
        <f>IF(AQ225="7",BH225,0)</f>
        <v>0</v>
      </c>
      <c r="AE225" s="35">
        <f>IF(AQ225="7",BI225,0)</f>
        <v>0</v>
      </c>
      <c r="AF225" s="35">
        <f>IF(AQ225="2",BH225,0)</f>
        <v>0</v>
      </c>
      <c r="AG225" s="35">
        <f>IF(AQ225="2",BI225,0)</f>
        <v>0</v>
      </c>
      <c r="AH225" s="35">
        <f>IF(AQ225="0",BJ225,0)</f>
        <v>0</v>
      </c>
      <c r="AI225" s="12" t="s">
        <v>382</v>
      </c>
      <c r="AJ225" s="35">
        <f>IF(AN225=0,L225,0)</f>
        <v>0</v>
      </c>
      <c r="AK225" s="35">
        <f>IF(AN225=12,L225,0)</f>
        <v>0</v>
      </c>
      <c r="AL225" s="35">
        <f>IF(AN225=21,L225,0)</f>
        <v>0</v>
      </c>
      <c r="AN225" s="35">
        <v>21</v>
      </c>
      <c r="AO225" s="35">
        <f>H225*0</f>
        <v>0</v>
      </c>
      <c r="AP225" s="35">
        <f>H225*(1-0)</f>
        <v>0</v>
      </c>
      <c r="AQ225" s="36" t="s">
        <v>87</v>
      </c>
      <c r="AV225" s="35">
        <f>AW225+AX225</f>
        <v>0</v>
      </c>
      <c r="AW225" s="35">
        <f>G225*AO225</f>
        <v>0</v>
      </c>
      <c r="AX225" s="35">
        <f>G225*AP225</f>
        <v>0</v>
      </c>
      <c r="AY225" s="36" t="s">
        <v>333</v>
      </c>
      <c r="AZ225" s="36" t="s">
        <v>423</v>
      </c>
      <c r="BA225" s="12" t="s">
        <v>388</v>
      </c>
      <c r="BC225" s="35">
        <f>AW225+AX225</f>
        <v>0</v>
      </c>
      <c r="BD225" s="35">
        <f>H225/(100-BE225)*100</f>
        <v>0</v>
      </c>
      <c r="BE225" s="35">
        <v>0</v>
      </c>
      <c r="BF225" s="35">
        <f>O225</f>
        <v>0</v>
      </c>
      <c r="BH225" s="35">
        <f>G225*AO225</f>
        <v>0</v>
      </c>
      <c r="BI225" s="35">
        <f>G225*AP225</f>
        <v>0</v>
      </c>
      <c r="BJ225" s="35">
        <f>G225*H225</f>
        <v>0</v>
      </c>
      <c r="BK225" s="35"/>
      <c r="BL225" s="35"/>
      <c r="BW225" s="35" t="str">
        <f>I225</f>
        <v>21</v>
      </c>
      <c r="BX225" s="4" t="s">
        <v>350</v>
      </c>
    </row>
    <row r="226" spans="1:76" ht="14.6" x14ac:dyDescent="0.4">
      <c r="A226" s="31" t="s">
        <v>56</v>
      </c>
      <c r="B226" s="32" t="s">
        <v>382</v>
      </c>
      <c r="C226" s="32" t="s">
        <v>351</v>
      </c>
      <c r="D226" s="89" t="s">
        <v>352</v>
      </c>
      <c r="E226" s="90"/>
      <c r="F226" s="33" t="s">
        <v>4</v>
      </c>
      <c r="G226" s="33" t="s">
        <v>4</v>
      </c>
      <c r="H226" s="33" t="s">
        <v>4</v>
      </c>
      <c r="I226" s="33" t="s">
        <v>4</v>
      </c>
      <c r="J226" s="1">
        <f>SUM(J227:J229)</f>
        <v>0</v>
      </c>
      <c r="K226" s="1">
        <f>SUM(K227:K229)</f>
        <v>0</v>
      </c>
      <c r="L226" s="1">
        <f>SUM(L227:L229)</f>
        <v>0</v>
      </c>
      <c r="M226" s="1">
        <f>SUM(M227:M229)</f>
        <v>0</v>
      </c>
      <c r="N226" s="12" t="s">
        <v>56</v>
      </c>
      <c r="O226" s="1">
        <f>SUM(O227:O229)</f>
        <v>2.5948500000000001</v>
      </c>
      <c r="P226" s="34" t="s">
        <v>56</v>
      </c>
      <c r="AI226" s="12" t="s">
        <v>382</v>
      </c>
      <c r="AS226" s="1">
        <f>SUM(AJ227:AJ229)</f>
        <v>0</v>
      </c>
      <c r="AT226" s="1">
        <f>SUM(AK227:AK229)</f>
        <v>0</v>
      </c>
      <c r="AU226" s="1">
        <f>SUM(AL227:AL229)</f>
        <v>0</v>
      </c>
    </row>
    <row r="227" spans="1:76" ht="14.6" x14ac:dyDescent="0.4">
      <c r="A227" s="2" t="s">
        <v>273</v>
      </c>
      <c r="B227" s="3" t="s">
        <v>382</v>
      </c>
      <c r="C227" s="3" t="s">
        <v>354</v>
      </c>
      <c r="D227" s="84" t="s">
        <v>355</v>
      </c>
      <c r="E227" s="85"/>
      <c r="F227" s="3" t="s">
        <v>356</v>
      </c>
      <c r="G227" s="35">
        <v>1.35</v>
      </c>
      <c r="H227" s="82"/>
      <c r="I227" s="36" t="s">
        <v>65</v>
      </c>
      <c r="J227" s="35">
        <f>G227*AO227</f>
        <v>0</v>
      </c>
      <c r="K227" s="35">
        <f>G227*AP227</f>
        <v>0</v>
      </c>
      <c r="L227" s="35">
        <f>G227*H227</f>
        <v>0</v>
      </c>
      <c r="M227" s="35">
        <f>L227*(1+BW227/100)</f>
        <v>0</v>
      </c>
      <c r="N227" s="35">
        <v>1E-3</v>
      </c>
      <c r="O227" s="35">
        <f>G227*N227</f>
        <v>1.3500000000000001E-3</v>
      </c>
      <c r="P227" s="37" t="s">
        <v>66</v>
      </c>
      <c r="Z227" s="35">
        <f>IF(AQ227="5",BJ227,0)</f>
        <v>0</v>
      </c>
      <c r="AB227" s="35">
        <f>IF(AQ227="1",BH227,0)</f>
        <v>0</v>
      </c>
      <c r="AC227" s="35">
        <f>IF(AQ227="1",BI227,0)</f>
        <v>0</v>
      </c>
      <c r="AD227" s="35">
        <f>IF(AQ227="7",BH227,0)</f>
        <v>0</v>
      </c>
      <c r="AE227" s="35">
        <f>IF(AQ227="7",BI227,0)</f>
        <v>0</v>
      </c>
      <c r="AF227" s="35">
        <f>IF(AQ227="2",BH227,0)</f>
        <v>0</v>
      </c>
      <c r="AG227" s="35">
        <f>IF(AQ227="2",BI227,0)</f>
        <v>0</v>
      </c>
      <c r="AH227" s="35">
        <f>IF(AQ227="0",BJ227,0)</f>
        <v>0</v>
      </c>
      <c r="AI227" s="12" t="s">
        <v>382</v>
      </c>
      <c r="AJ227" s="35">
        <f>IF(AN227=0,L227,0)</f>
        <v>0</v>
      </c>
      <c r="AK227" s="35">
        <f>IF(AN227=12,L227,0)</f>
        <v>0</v>
      </c>
      <c r="AL227" s="35">
        <f>IF(AN227=21,L227,0)</f>
        <v>0</v>
      </c>
      <c r="AN227" s="35">
        <v>21</v>
      </c>
      <c r="AO227" s="35">
        <f>H227*1</f>
        <v>0</v>
      </c>
      <c r="AP227" s="35">
        <f>H227*(1-1)</f>
        <v>0</v>
      </c>
      <c r="AQ227" s="36" t="s">
        <v>357</v>
      </c>
      <c r="AV227" s="35">
        <f>AW227+AX227</f>
        <v>0</v>
      </c>
      <c r="AW227" s="35">
        <f>G227*AO227</f>
        <v>0</v>
      </c>
      <c r="AX227" s="35">
        <f>G227*AP227</f>
        <v>0</v>
      </c>
      <c r="AY227" s="36" t="s">
        <v>358</v>
      </c>
      <c r="AZ227" s="36" t="s">
        <v>433</v>
      </c>
      <c r="BA227" s="12" t="s">
        <v>388</v>
      </c>
      <c r="BC227" s="35">
        <f>AW227+AX227</f>
        <v>0</v>
      </c>
      <c r="BD227" s="35">
        <f>H227/(100-BE227)*100</f>
        <v>0</v>
      </c>
      <c r="BE227" s="35">
        <v>0</v>
      </c>
      <c r="BF227" s="35">
        <f>O227</f>
        <v>1.3500000000000001E-3</v>
      </c>
      <c r="BH227" s="35">
        <f>G227*AO227</f>
        <v>0</v>
      </c>
      <c r="BI227" s="35">
        <f>G227*AP227</f>
        <v>0</v>
      </c>
      <c r="BJ227" s="35">
        <f>G227*H227</f>
        <v>0</v>
      </c>
      <c r="BK227" s="35"/>
      <c r="BL227" s="35"/>
      <c r="BW227" s="35" t="str">
        <f>I227</f>
        <v>21</v>
      </c>
      <c r="BX227" s="4" t="s">
        <v>355</v>
      </c>
    </row>
    <row r="228" spans="1:76" ht="14.6" x14ac:dyDescent="0.4">
      <c r="A228" s="38"/>
      <c r="D228" s="39" t="s">
        <v>434</v>
      </c>
      <c r="E228" s="40" t="s">
        <v>56</v>
      </c>
      <c r="G228" s="41">
        <v>1.35</v>
      </c>
      <c r="P228" s="42"/>
    </row>
    <row r="229" spans="1:76" ht="24.9" x14ac:dyDescent="0.4">
      <c r="A229" s="2" t="s">
        <v>435</v>
      </c>
      <c r="B229" s="3" t="s">
        <v>382</v>
      </c>
      <c r="C229" s="3" t="s">
        <v>362</v>
      </c>
      <c r="D229" s="84" t="s">
        <v>363</v>
      </c>
      <c r="E229" s="85"/>
      <c r="F229" s="3" t="s">
        <v>98</v>
      </c>
      <c r="G229" s="35">
        <v>39.9</v>
      </c>
      <c r="H229" s="35">
        <v>0</v>
      </c>
      <c r="I229" s="36" t="s">
        <v>65</v>
      </c>
      <c r="J229" s="35">
        <f>G229*AO229</f>
        <v>0</v>
      </c>
      <c r="K229" s="35">
        <f>G229*AP229</f>
        <v>0</v>
      </c>
      <c r="L229" s="35">
        <f>G229*H229</f>
        <v>0</v>
      </c>
      <c r="M229" s="35">
        <f>L229*(1+BW229/100)</f>
        <v>0</v>
      </c>
      <c r="N229" s="35">
        <v>6.5000000000000002E-2</v>
      </c>
      <c r="O229" s="35">
        <f>G229*N229</f>
        <v>2.5935000000000001</v>
      </c>
      <c r="P229" s="37" t="s">
        <v>364</v>
      </c>
      <c r="Z229" s="35">
        <f>IF(AQ229="5",BJ229,0)</f>
        <v>0</v>
      </c>
      <c r="AB229" s="35">
        <f>IF(AQ229="1",BH229,0)</f>
        <v>0</v>
      </c>
      <c r="AC229" s="35">
        <f>IF(AQ229="1",BI229,0)</f>
        <v>0</v>
      </c>
      <c r="AD229" s="35">
        <f>IF(AQ229="7",BH229,0)</f>
        <v>0</v>
      </c>
      <c r="AE229" s="35">
        <f>IF(AQ229="7",BI229,0)</f>
        <v>0</v>
      </c>
      <c r="AF229" s="35">
        <f>IF(AQ229="2",BH229,0)</f>
        <v>0</v>
      </c>
      <c r="AG229" s="35">
        <f>IF(AQ229="2",BI229,0)</f>
        <v>0</v>
      </c>
      <c r="AH229" s="35">
        <f>IF(AQ229="0",BJ229,0)</f>
        <v>0</v>
      </c>
      <c r="AI229" s="12" t="s">
        <v>382</v>
      </c>
      <c r="AJ229" s="35">
        <f>IF(AN229=0,L229,0)</f>
        <v>0</v>
      </c>
      <c r="AK229" s="35">
        <f>IF(AN229=12,L229,0)</f>
        <v>0</v>
      </c>
      <c r="AL229" s="35">
        <f>IF(AN229=21,L229,0)</f>
        <v>0</v>
      </c>
      <c r="AN229" s="35">
        <v>21</v>
      </c>
      <c r="AO229" s="35">
        <f>H229*1</f>
        <v>0</v>
      </c>
      <c r="AP229" s="35">
        <f>H229*(1-1)</f>
        <v>0</v>
      </c>
      <c r="AQ229" s="36" t="s">
        <v>357</v>
      </c>
      <c r="AV229" s="35">
        <f>AW229+AX229</f>
        <v>0</v>
      </c>
      <c r="AW229" s="35">
        <f>G229*AO229</f>
        <v>0</v>
      </c>
      <c r="AX229" s="35">
        <f>G229*AP229</f>
        <v>0</v>
      </c>
      <c r="AY229" s="36" t="s">
        <v>358</v>
      </c>
      <c r="AZ229" s="36" t="s">
        <v>433</v>
      </c>
      <c r="BA229" s="12" t="s">
        <v>388</v>
      </c>
      <c r="BC229" s="35">
        <f>AW229+AX229</f>
        <v>0</v>
      </c>
      <c r="BD229" s="35">
        <f>H229/(100-BE229)*100</f>
        <v>0</v>
      </c>
      <c r="BE229" s="35">
        <v>0</v>
      </c>
      <c r="BF229" s="35">
        <f>O229</f>
        <v>2.5935000000000001</v>
      </c>
      <c r="BH229" s="35">
        <f>G229*AO229</f>
        <v>0</v>
      </c>
      <c r="BI229" s="35">
        <f>G229*AP229</f>
        <v>0</v>
      </c>
      <c r="BJ229" s="35">
        <f>G229*H229</f>
        <v>0</v>
      </c>
      <c r="BK229" s="35"/>
      <c r="BL229" s="35"/>
      <c r="BW229" s="35" t="str">
        <f>I229</f>
        <v>21</v>
      </c>
      <c r="BX229" s="4" t="s">
        <v>363</v>
      </c>
    </row>
    <row r="230" spans="1:76" ht="14.6" x14ac:dyDescent="0.4">
      <c r="A230" s="38"/>
      <c r="D230" s="39" t="s">
        <v>251</v>
      </c>
      <c r="E230" s="40" t="s">
        <v>56</v>
      </c>
      <c r="G230" s="41">
        <v>38</v>
      </c>
      <c r="P230" s="42"/>
    </row>
    <row r="231" spans="1:76" ht="14.6" x14ac:dyDescent="0.4">
      <c r="A231" s="38"/>
      <c r="D231" s="39" t="s">
        <v>436</v>
      </c>
      <c r="E231" s="40" t="s">
        <v>56</v>
      </c>
      <c r="G231" s="41">
        <v>1.9</v>
      </c>
      <c r="P231" s="42"/>
    </row>
    <row r="232" spans="1:76" ht="27" customHeight="1" x14ac:dyDescent="0.4">
      <c r="A232" s="38"/>
      <c r="C232" s="44" t="s">
        <v>85</v>
      </c>
      <c r="D232" s="86" t="s">
        <v>437</v>
      </c>
      <c r="E232" s="87"/>
      <c r="F232" s="87"/>
      <c r="G232" s="87"/>
      <c r="H232" s="87"/>
      <c r="I232" s="87"/>
      <c r="J232" s="87"/>
      <c r="K232" s="87"/>
      <c r="L232" s="87"/>
      <c r="M232" s="87"/>
      <c r="N232" s="87"/>
      <c r="O232" s="87"/>
      <c r="P232" s="88"/>
    </row>
    <row r="233" spans="1:76" ht="14.6" x14ac:dyDescent="0.4">
      <c r="A233" s="31" t="s">
        <v>56</v>
      </c>
      <c r="B233" s="32" t="s">
        <v>438</v>
      </c>
      <c r="C233" s="32" t="s">
        <v>56</v>
      </c>
      <c r="D233" s="89" t="s">
        <v>439</v>
      </c>
      <c r="E233" s="90"/>
      <c r="F233" s="33" t="s">
        <v>4</v>
      </c>
      <c r="G233" s="33" t="s">
        <v>4</v>
      </c>
      <c r="H233" s="33" t="s">
        <v>4</v>
      </c>
      <c r="I233" s="33" t="s">
        <v>4</v>
      </c>
      <c r="J233" s="1">
        <f>J234+J239+J243+J249+J271+J273+J309+J325+J334</f>
        <v>0</v>
      </c>
      <c r="K233" s="1">
        <f>K234+K239+K243+K249+K271+K273+K309+K325+K334</f>
        <v>0</v>
      </c>
      <c r="L233" s="1">
        <f>L234+L239+L243+L249+L271+L273+L309+L325+L334</f>
        <v>0</v>
      </c>
      <c r="M233" s="1">
        <f>M234+M239+M243+M249+M271+M273+M309+M325+M334</f>
        <v>0</v>
      </c>
      <c r="N233" s="12" t="s">
        <v>56</v>
      </c>
      <c r="O233" s="1">
        <f>O234+O239+O243+O249+O271+O273+O309+O325+O334</f>
        <v>54.272346999999996</v>
      </c>
      <c r="P233" s="34" t="s">
        <v>56</v>
      </c>
    </row>
    <row r="234" spans="1:76" ht="14.6" x14ac:dyDescent="0.4">
      <c r="A234" s="31" t="s">
        <v>56</v>
      </c>
      <c r="B234" s="32" t="s">
        <v>438</v>
      </c>
      <c r="C234" s="32" t="s">
        <v>59</v>
      </c>
      <c r="D234" s="89" t="s">
        <v>60</v>
      </c>
      <c r="E234" s="90"/>
      <c r="F234" s="33" t="s">
        <v>4</v>
      </c>
      <c r="G234" s="33" t="s">
        <v>4</v>
      </c>
      <c r="H234" s="33" t="s">
        <v>4</v>
      </c>
      <c r="I234" s="33" t="s">
        <v>4</v>
      </c>
      <c r="J234" s="1">
        <f>SUM(J235:J235)</f>
        <v>0</v>
      </c>
      <c r="K234" s="1">
        <f>SUM(K235:K235)</f>
        <v>0</v>
      </c>
      <c r="L234" s="1">
        <f>SUM(L235:L235)</f>
        <v>0</v>
      </c>
      <c r="M234" s="1">
        <f>SUM(M235:M235)</f>
        <v>0</v>
      </c>
      <c r="N234" s="12" t="s">
        <v>56</v>
      </c>
      <c r="O234" s="1">
        <f>SUM(O235:O235)</f>
        <v>1.8002</v>
      </c>
      <c r="P234" s="34" t="s">
        <v>56</v>
      </c>
      <c r="AI234" s="12" t="s">
        <v>438</v>
      </c>
      <c r="AS234" s="1">
        <f>SUM(AJ235:AJ235)</f>
        <v>0</v>
      </c>
      <c r="AT234" s="1">
        <f>SUM(AK235:AK235)</f>
        <v>0</v>
      </c>
      <c r="AU234" s="1">
        <f>SUM(AL235:AL235)</f>
        <v>0</v>
      </c>
    </row>
    <row r="235" spans="1:76" ht="14.6" x14ac:dyDescent="0.4">
      <c r="A235" s="2" t="s">
        <v>440</v>
      </c>
      <c r="B235" s="3" t="s">
        <v>438</v>
      </c>
      <c r="C235" s="3" t="s">
        <v>80</v>
      </c>
      <c r="D235" s="84" t="s">
        <v>81</v>
      </c>
      <c r="E235" s="85"/>
      <c r="F235" s="3" t="s">
        <v>64</v>
      </c>
      <c r="G235" s="35">
        <v>2</v>
      </c>
      <c r="H235" s="82"/>
      <c r="I235" s="36" t="s">
        <v>65</v>
      </c>
      <c r="J235" s="35">
        <f>G235*AO235</f>
        <v>0</v>
      </c>
      <c r="K235" s="35">
        <f>G235*AP235</f>
        <v>0</v>
      </c>
      <c r="L235" s="35">
        <f>G235*H235</f>
        <v>0</v>
      </c>
      <c r="M235" s="35">
        <f>L235*(1+BW235/100)</f>
        <v>0</v>
      </c>
      <c r="N235" s="35">
        <v>0.90010000000000001</v>
      </c>
      <c r="O235" s="35">
        <f>G235*N235</f>
        <v>1.8002</v>
      </c>
      <c r="P235" s="37" t="s">
        <v>66</v>
      </c>
      <c r="Z235" s="35">
        <f>IF(AQ235="5",BJ235,0)</f>
        <v>0</v>
      </c>
      <c r="AB235" s="35">
        <f>IF(AQ235="1",BH235,0)</f>
        <v>0</v>
      </c>
      <c r="AC235" s="35">
        <f>IF(AQ235="1",BI235,0)</f>
        <v>0</v>
      </c>
      <c r="AD235" s="35">
        <f>IF(AQ235="7",BH235,0)</f>
        <v>0</v>
      </c>
      <c r="AE235" s="35">
        <f>IF(AQ235="7",BI235,0)</f>
        <v>0</v>
      </c>
      <c r="AF235" s="35">
        <f>IF(AQ235="2",BH235,0)</f>
        <v>0</v>
      </c>
      <c r="AG235" s="35">
        <f>IF(AQ235="2",BI235,0)</f>
        <v>0</v>
      </c>
      <c r="AH235" s="35">
        <f>IF(AQ235="0",BJ235,0)</f>
        <v>0</v>
      </c>
      <c r="AI235" s="12" t="s">
        <v>438</v>
      </c>
      <c r="AJ235" s="35">
        <f>IF(AN235=0,L235,0)</f>
        <v>0</v>
      </c>
      <c r="AK235" s="35">
        <f>IF(AN235=12,L235,0)</f>
        <v>0</v>
      </c>
      <c r="AL235" s="35">
        <f>IF(AN235=21,L235,0)</f>
        <v>0</v>
      </c>
      <c r="AN235" s="35">
        <v>21</v>
      </c>
      <c r="AO235" s="35">
        <f>H235*0.006093624</f>
        <v>0</v>
      </c>
      <c r="AP235" s="35">
        <f>H235*(1-0.006093624)</f>
        <v>0</v>
      </c>
      <c r="AQ235" s="36" t="s">
        <v>61</v>
      </c>
      <c r="AV235" s="35">
        <f>AW235+AX235</f>
        <v>0</v>
      </c>
      <c r="AW235" s="35">
        <f>G235*AO235</f>
        <v>0</v>
      </c>
      <c r="AX235" s="35">
        <f>G235*AP235</f>
        <v>0</v>
      </c>
      <c r="AY235" s="36" t="s">
        <v>67</v>
      </c>
      <c r="AZ235" s="36" t="s">
        <v>441</v>
      </c>
      <c r="BA235" s="12" t="s">
        <v>442</v>
      </c>
      <c r="BC235" s="35">
        <f>AW235+AX235</f>
        <v>0</v>
      </c>
      <c r="BD235" s="35">
        <f>H235/(100-BE235)*100</f>
        <v>0</v>
      </c>
      <c r="BE235" s="35">
        <v>0</v>
      </c>
      <c r="BF235" s="35">
        <f>O235</f>
        <v>1.8002</v>
      </c>
      <c r="BH235" s="35">
        <f>G235*AO235</f>
        <v>0</v>
      </c>
      <c r="BI235" s="35">
        <f>G235*AP235</f>
        <v>0</v>
      </c>
      <c r="BJ235" s="35">
        <f>G235*H235</f>
        <v>0</v>
      </c>
      <c r="BK235" s="35"/>
      <c r="BL235" s="35">
        <v>11</v>
      </c>
      <c r="BW235" s="35" t="str">
        <f>I235</f>
        <v>21</v>
      </c>
      <c r="BX235" s="4" t="s">
        <v>81</v>
      </c>
    </row>
    <row r="236" spans="1:76" ht="13.5" customHeight="1" x14ac:dyDescent="0.4">
      <c r="A236" s="38"/>
      <c r="C236" s="43" t="s">
        <v>82</v>
      </c>
      <c r="D236" s="94" t="s">
        <v>83</v>
      </c>
      <c r="E236" s="95"/>
      <c r="F236" s="95"/>
      <c r="G236" s="95"/>
      <c r="H236" s="95"/>
      <c r="I236" s="95"/>
      <c r="J236" s="95"/>
      <c r="K236" s="95"/>
      <c r="L236" s="95"/>
      <c r="M236" s="95"/>
      <c r="N236" s="95"/>
      <c r="O236" s="95"/>
      <c r="P236" s="96"/>
    </row>
    <row r="237" spans="1:76" ht="14.6" x14ac:dyDescent="0.4">
      <c r="A237" s="38"/>
      <c r="D237" s="39" t="s">
        <v>443</v>
      </c>
      <c r="E237" s="40" t="s">
        <v>56</v>
      </c>
      <c r="G237" s="41">
        <v>2</v>
      </c>
      <c r="P237" s="42"/>
    </row>
    <row r="238" spans="1:76" ht="13.5" customHeight="1" x14ac:dyDescent="0.4">
      <c r="A238" s="38"/>
      <c r="C238" s="44" t="s">
        <v>85</v>
      </c>
      <c r="D238" s="86" t="s">
        <v>444</v>
      </c>
      <c r="E238" s="87"/>
      <c r="F238" s="87"/>
      <c r="G238" s="87"/>
      <c r="H238" s="87"/>
      <c r="I238" s="87"/>
      <c r="J238" s="87"/>
      <c r="K238" s="87"/>
      <c r="L238" s="87"/>
      <c r="M238" s="87"/>
      <c r="N238" s="87"/>
      <c r="O238" s="87"/>
      <c r="P238" s="88"/>
    </row>
    <row r="239" spans="1:76" ht="14.6" x14ac:dyDescent="0.4">
      <c r="A239" s="31" t="s">
        <v>56</v>
      </c>
      <c r="B239" s="32" t="s">
        <v>438</v>
      </c>
      <c r="C239" s="32" t="s">
        <v>197</v>
      </c>
      <c r="D239" s="89" t="s">
        <v>198</v>
      </c>
      <c r="E239" s="90"/>
      <c r="F239" s="33" t="s">
        <v>4</v>
      </c>
      <c r="G239" s="33" t="s">
        <v>4</v>
      </c>
      <c r="H239" s="33" t="s">
        <v>4</v>
      </c>
      <c r="I239" s="33" t="s">
        <v>4</v>
      </c>
      <c r="J239" s="1">
        <f>SUM(J240:J240)</f>
        <v>0</v>
      </c>
      <c r="K239" s="1">
        <f>SUM(K240:K240)</f>
        <v>0</v>
      </c>
      <c r="L239" s="1">
        <f>SUM(L240:L240)</f>
        <v>0</v>
      </c>
      <c r="M239" s="1">
        <f>SUM(M240:M240)</f>
        <v>0</v>
      </c>
      <c r="N239" s="12" t="s">
        <v>56</v>
      </c>
      <c r="O239" s="1">
        <f>SUM(O240:O240)</f>
        <v>2.3933599999999999</v>
      </c>
      <c r="P239" s="34" t="s">
        <v>56</v>
      </c>
      <c r="AI239" s="12" t="s">
        <v>438</v>
      </c>
      <c r="AS239" s="1">
        <f>SUM(AJ240:AJ240)</f>
        <v>0</v>
      </c>
      <c r="AT239" s="1">
        <f>SUM(AK240:AK240)</f>
        <v>0</v>
      </c>
      <c r="AU239" s="1">
        <f>SUM(AL240:AL240)</f>
        <v>0</v>
      </c>
    </row>
    <row r="240" spans="1:76" ht="14.6" x14ac:dyDescent="0.4">
      <c r="A240" s="2" t="s">
        <v>445</v>
      </c>
      <c r="B240" s="3" t="s">
        <v>438</v>
      </c>
      <c r="C240" s="3" t="s">
        <v>206</v>
      </c>
      <c r="D240" s="84" t="s">
        <v>207</v>
      </c>
      <c r="E240" s="85"/>
      <c r="F240" s="3" t="s">
        <v>64</v>
      </c>
      <c r="G240" s="35">
        <v>2</v>
      </c>
      <c r="H240" s="82"/>
      <c r="I240" s="36" t="s">
        <v>65</v>
      </c>
      <c r="J240" s="35">
        <f>G240*AO240</f>
        <v>0</v>
      </c>
      <c r="K240" s="35">
        <f>G240*AP240</f>
        <v>0</v>
      </c>
      <c r="L240" s="35">
        <f>G240*H240</f>
        <v>0</v>
      </c>
      <c r="M240" s="35">
        <f>L240*(1+BW240/100)</f>
        <v>0</v>
      </c>
      <c r="N240" s="35">
        <v>1.19668</v>
      </c>
      <c r="O240" s="35">
        <f>G240*N240</f>
        <v>2.3933599999999999</v>
      </c>
      <c r="P240" s="37" t="s">
        <v>66</v>
      </c>
      <c r="Z240" s="35">
        <f>IF(AQ240="5",BJ240,0)</f>
        <v>0</v>
      </c>
      <c r="AB240" s="35">
        <f>IF(AQ240="1",BH240,0)</f>
        <v>0</v>
      </c>
      <c r="AC240" s="35">
        <f>IF(AQ240="1",BI240,0)</f>
        <v>0</v>
      </c>
      <c r="AD240" s="35">
        <f>IF(AQ240="7",BH240,0)</f>
        <v>0</v>
      </c>
      <c r="AE240" s="35">
        <f>IF(AQ240="7",BI240,0)</f>
        <v>0</v>
      </c>
      <c r="AF240" s="35">
        <f>IF(AQ240="2",BH240,0)</f>
        <v>0</v>
      </c>
      <c r="AG240" s="35">
        <f>IF(AQ240="2",BI240,0)</f>
        <v>0</v>
      </c>
      <c r="AH240" s="35">
        <f>IF(AQ240="0",BJ240,0)</f>
        <v>0</v>
      </c>
      <c r="AI240" s="12" t="s">
        <v>438</v>
      </c>
      <c r="AJ240" s="35">
        <f>IF(AN240=0,L240,0)</f>
        <v>0</v>
      </c>
      <c r="AK240" s="35">
        <f>IF(AN240=12,L240,0)</f>
        <v>0</v>
      </c>
      <c r="AL240" s="35">
        <f>IF(AN240=21,L240,0)</f>
        <v>0</v>
      </c>
      <c r="AN240" s="35">
        <v>21</v>
      </c>
      <c r="AO240" s="35">
        <f>H240*0.757633732</f>
        <v>0</v>
      </c>
      <c r="AP240" s="35">
        <f>H240*(1-0.757633732)</f>
        <v>0</v>
      </c>
      <c r="AQ240" s="36" t="s">
        <v>61</v>
      </c>
      <c r="AV240" s="35">
        <f>AW240+AX240</f>
        <v>0</v>
      </c>
      <c r="AW240" s="35">
        <f>G240*AO240</f>
        <v>0</v>
      </c>
      <c r="AX240" s="35">
        <f>G240*AP240</f>
        <v>0</v>
      </c>
      <c r="AY240" s="36" t="s">
        <v>203</v>
      </c>
      <c r="AZ240" s="36" t="s">
        <v>446</v>
      </c>
      <c r="BA240" s="12" t="s">
        <v>442</v>
      </c>
      <c r="BC240" s="35">
        <f>AW240+AX240</f>
        <v>0</v>
      </c>
      <c r="BD240" s="35">
        <f>H240/(100-BE240)*100</f>
        <v>0</v>
      </c>
      <c r="BE240" s="35">
        <v>0</v>
      </c>
      <c r="BF240" s="35">
        <f>O240</f>
        <v>2.3933599999999999</v>
      </c>
      <c r="BH240" s="35">
        <f>G240*AO240</f>
        <v>0</v>
      </c>
      <c r="BI240" s="35">
        <f>G240*AP240</f>
        <v>0</v>
      </c>
      <c r="BJ240" s="35">
        <f>G240*H240</f>
        <v>0</v>
      </c>
      <c r="BK240" s="35"/>
      <c r="BL240" s="35">
        <v>57</v>
      </c>
      <c r="BW240" s="35" t="str">
        <f>I240</f>
        <v>21</v>
      </c>
      <c r="BX240" s="4" t="s">
        <v>207</v>
      </c>
    </row>
    <row r="241" spans="1:76" ht="14.6" x14ac:dyDescent="0.4">
      <c r="A241" s="38"/>
      <c r="D241" s="39" t="s">
        <v>443</v>
      </c>
      <c r="E241" s="40" t="s">
        <v>56</v>
      </c>
      <c r="G241" s="41">
        <v>2</v>
      </c>
      <c r="P241" s="42"/>
    </row>
    <row r="242" spans="1:76" ht="27" customHeight="1" x14ac:dyDescent="0.4">
      <c r="A242" s="38"/>
      <c r="C242" s="44" t="s">
        <v>85</v>
      </c>
      <c r="D242" s="86" t="s">
        <v>447</v>
      </c>
      <c r="E242" s="87"/>
      <c r="F242" s="87"/>
      <c r="G242" s="87"/>
      <c r="H242" s="87"/>
      <c r="I242" s="87"/>
      <c r="J242" s="87"/>
      <c r="K242" s="87"/>
      <c r="L242" s="87"/>
      <c r="M242" s="87"/>
      <c r="N242" s="87"/>
      <c r="O242" s="87"/>
      <c r="P242" s="88"/>
    </row>
    <row r="243" spans="1:76" ht="14.6" x14ac:dyDescent="0.4">
      <c r="A243" s="31" t="s">
        <v>56</v>
      </c>
      <c r="B243" s="32" t="s">
        <v>438</v>
      </c>
      <c r="C243" s="32" t="s">
        <v>432</v>
      </c>
      <c r="D243" s="89" t="s">
        <v>448</v>
      </c>
      <c r="E243" s="90"/>
      <c r="F243" s="33" t="s">
        <v>4</v>
      </c>
      <c r="G243" s="33" t="s">
        <v>4</v>
      </c>
      <c r="H243" s="33" t="s">
        <v>4</v>
      </c>
      <c r="I243" s="33" t="s">
        <v>4</v>
      </c>
      <c r="J243" s="1">
        <f>SUM(J244:J247)</f>
        <v>0</v>
      </c>
      <c r="K243" s="1">
        <f>SUM(K244:K247)</f>
        <v>0</v>
      </c>
      <c r="L243" s="1">
        <f>SUM(L244:L247)</f>
        <v>0</v>
      </c>
      <c r="M243" s="1">
        <f>SUM(M244:M247)</f>
        <v>0</v>
      </c>
      <c r="N243" s="12" t="s">
        <v>56</v>
      </c>
      <c r="O243" s="1">
        <f>SUM(O244:O247)</f>
        <v>0</v>
      </c>
      <c r="P243" s="34" t="s">
        <v>56</v>
      </c>
      <c r="AI243" s="12" t="s">
        <v>438</v>
      </c>
      <c r="AS243" s="1">
        <f>SUM(AJ244:AJ247)</f>
        <v>0</v>
      </c>
      <c r="AT243" s="1">
        <f>SUM(AK244:AK247)</f>
        <v>0</v>
      </c>
      <c r="AU243" s="1">
        <f>SUM(AL244:AL247)</f>
        <v>0</v>
      </c>
    </row>
    <row r="244" spans="1:76" ht="14.6" x14ac:dyDescent="0.4">
      <c r="A244" s="2" t="s">
        <v>449</v>
      </c>
      <c r="B244" s="3" t="s">
        <v>438</v>
      </c>
      <c r="C244" s="3" t="s">
        <v>450</v>
      </c>
      <c r="D244" s="84" t="s">
        <v>451</v>
      </c>
      <c r="E244" s="85"/>
      <c r="F244" s="3" t="s">
        <v>452</v>
      </c>
      <c r="G244" s="35">
        <v>12</v>
      </c>
      <c r="H244" s="82"/>
      <c r="I244" s="36" t="s">
        <v>65</v>
      </c>
      <c r="J244" s="35">
        <f>G244*AO244</f>
        <v>0</v>
      </c>
      <c r="K244" s="35">
        <f>G244*AP244</f>
        <v>0</v>
      </c>
      <c r="L244" s="35">
        <f>G244*H244</f>
        <v>0</v>
      </c>
      <c r="M244" s="35">
        <f>L244*(1+BW244/100)</f>
        <v>0</v>
      </c>
      <c r="N244" s="35">
        <v>0</v>
      </c>
      <c r="O244" s="35">
        <f>G244*N244</f>
        <v>0</v>
      </c>
      <c r="P244" s="37" t="s">
        <v>66</v>
      </c>
      <c r="Z244" s="35">
        <f>IF(AQ244="5",BJ244,0)</f>
        <v>0</v>
      </c>
      <c r="AB244" s="35">
        <f>IF(AQ244="1",BH244,0)</f>
        <v>0</v>
      </c>
      <c r="AC244" s="35">
        <f>IF(AQ244="1",BI244,0)</f>
        <v>0</v>
      </c>
      <c r="AD244" s="35">
        <f>IF(AQ244="7",BH244,0)</f>
        <v>0</v>
      </c>
      <c r="AE244" s="35">
        <f>IF(AQ244="7",BI244,0)</f>
        <v>0</v>
      </c>
      <c r="AF244" s="35">
        <f>IF(AQ244="2",BH244,0)</f>
        <v>0</v>
      </c>
      <c r="AG244" s="35">
        <f>IF(AQ244="2",BI244,0)</f>
        <v>0</v>
      </c>
      <c r="AH244" s="35">
        <f>IF(AQ244="0",BJ244,0)</f>
        <v>0</v>
      </c>
      <c r="AI244" s="12" t="s">
        <v>438</v>
      </c>
      <c r="AJ244" s="35">
        <f>IF(AN244=0,L244,0)</f>
        <v>0</v>
      </c>
      <c r="AK244" s="35">
        <f>IF(AN244=12,L244,0)</f>
        <v>0</v>
      </c>
      <c r="AL244" s="35">
        <f>IF(AN244=21,L244,0)</f>
        <v>0</v>
      </c>
      <c r="AN244" s="35">
        <v>21</v>
      </c>
      <c r="AO244" s="35">
        <f>H244*0</f>
        <v>0</v>
      </c>
      <c r="AP244" s="35">
        <f>H244*(1-0)</f>
        <v>0</v>
      </c>
      <c r="AQ244" s="36" t="s">
        <v>61</v>
      </c>
      <c r="AV244" s="35">
        <f>AW244+AX244</f>
        <v>0</v>
      </c>
      <c r="AW244" s="35">
        <f>G244*AO244</f>
        <v>0</v>
      </c>
      <c r="AX244" s="35">
        <f>G244*AP244</f>
        <v>0</v>
      </c>
      <c r="AY244" s="36" t="s">
        <v>453</v>
      </c>
      <c r="AZ244" s="36" t="s">
        <v>454</v>
      </c>
      <c r="BA244" s="12" t="s">
        <v>442</v>
      </c>
      <c r="BC244" s="35">
        <f>AW244+AX244</f>
        <v>0</v>
      </c>
      <c r="BD244" s="35">
        <f>H244/(100-BE244)*100</f>
        <v>0</v>
      </c>
      <c r="BE244" s="35">
        <v>0</v>
      </c>
      <c r="BF244" s="35">
        <f>O244</f>
        <v>0</v>
      </c>
      <c r="BH244" s="35">
        <f>G244*AO244</f>
        <v>0</v>
      </c>
      <c r="BI244" s="35">
        <f>G244*AP244</f>
        <v>0</v>
      </c>
      <c r="BJ244" s="35">
        <f>G244*H244</f>
        <v>0</v>
      </c>
      <c r="BK244" s="35"/>
      <c r="BL244" s="35">
        <v>90</v>
      </c>
      <c r="BW244" s="35" t="str">
        <f>I244</f>
        <v>21</v>
      </c>
      <c r="BX244" s="4" t="s">
        <v>451</v>
      </c>
    </row>
    <row r="245" spans="1:76" ht="13.5" customHeight="1" x14ac:dyDescent="0.4">
      <c r="A245" s="38"/>
      <c r="C245" s="43" t="s">
        <v>82</v>
      </c>
      <c r="D245" s="94" t="s">
        <v>455</v>
      </c>
      <c r="E245" s="95"/>
      <c r="F245" s="95"/>
      <c r="G245" s="95"/>
      <c r="H245" s="95"/>
      <c r="I245" s="95"/>
      <c r="J245" s="95"/>
      <c r="K245" s="95"/>
      <c r="L245" s="95"/>
      <c r="M245" s="95"/>
      <c r="N245" s="95"/>
      <c r="O245" s="95"/>
      <c r="P245" s="96"/>
    </row>
    <row r="246" spans="1:76" ht="13.5" customHeight="1" x14ac:dyDescent="0.4">
      <c r="A246" s="38"/>
      <c r="C246" s="44" t="s">
        <v>85</v>
      </c>
      <c r="D246" s="86" t="s">
        <v>456</v>
      </c>
      <c r="E246" s="87"/>
      <c r="F246" s="87"/>
      <c r="G246" s="87"/>
      <c r="H246" s="87"/>
      <c r="I246" s="87"/>
      <c r="J246" s="87"/>
      <c r="K246" s="87"/>
      <c r="L246" s="87"/>
      <c r="M246" s="87"/>
      <c r="N246" s="87"/>
      <c r="O246" s="87"/>
      <c r="P246" s="88"/>
    </row>
    <row r="247" spans="1:76" ht="14.6" x14ac:dyDescent="0.4">
      <c r="A247" s="2" t="s">
        <v>307</v>
      </c>
      <c r="B247" s="3" t="s">
        <v>438</v>
      </c>
      <c r="C247" s="3" t="s">
        <v>457</v>
      </c>
      <c r="D247" s="84" t="s">
        <v>458</v>
      </c>
      <c r="E247" s="85"/>
      <c r="F247" s="3" t="s">
        <v>452</v>
      </c>
      <c r="G247" s="35">
        <v>25</v>
      </c>
      <c r="H247" s="82"/>
      <c r="I247" s="36" t="s">
        <v>65</v>
      </c>
      <c r="J247" s="35">
        <f>G247*AO247</f>
        <v>0</v>
      </c>
      <c r="K247" s="35">
        <f>G247*AP247</f>
        <v>0</v>
      </c>
      <c r="L247" s="35">
        <f>G247*H247</f>
        <v>0</v>
      </c>
      <c r="M247" s="35">
        <f>L247*(1+BW247/100)</f>
        <v>0</v>
      </c>
      <c r="N247" s="35">
        <v>0</v>
      </c>
      <c r="O247" s="35">
        <f>G247*N247</f>
        <v>0</v>
      </c>
      <c r="P247" s="37" t="s">
        <v>66</v>
      </c>
      <c r="Z247" s="35">
        <f>IF(AQ247="5",BJ247,0)</f>
        <v>0</v>
      </c>
      <c r="AB247" s="35">
        <f>IF(AQ247="1",BH247,0)</f>
        <v>0</v>
      </c>
      <c r="AC247" s="35">
        <f>IF(AQ247="1",BI247,0)</f>
        <v>0</v>
      </c>
      <c r="AD247" s="35">
        <f>IF(AQ247="7",BH247,0)</f>
        <v>0</v>
      </c>
      <c r="AE247" s="35">
        <f>IF(AQ247="7",BI247,0)</f>
        <v>0</v>
      </c>
      <c r="AF247" s="35">
        <f>IF(AQ247="2",BH247,0)</f>
        <v>0</v>
      </c>
      <c r="AG247" s="35">
        <f>IF(AQ247="2",BI247,0)</f>
        <v>0</v>
      </c>
      <c r="AH247" s="35">
        <f>IF(AQ247="0",BJ247,0)</f>
        <v>0</v>
      </c>
      <c r="AI247" s="12" t="s">
        <v>438</v>
      </c>
      <c r="AJ247" s="35">
        <f>IF(AN247=0,L247,0)</f>
        <v>0</v>
      </c>
      <c r="AK247" s="35">
        <f>IF(AN247=12,L247,0)</f>
        <v>0</v>
      </c>
      <c r="AL247" s="35">
        <f>IF(AN247=21,L247,0)</f>
        <v>0</v>
      </c>
      <c r="AN247" s="35">
        <v>21</v>
      </c>
      <c r="AO247" s="35">
        <f>H247*0</f>
        <v>0</v>
      </c>
      <c r="AP247" s="35">
        <f>H247*(1-0)</f>
        <v>0</v>
      </c>
      <c r="AQ247" s="36" t="s">
        <v>61</v>
      </c>
      <c r="AV247" s="35">
        <f>AW247+AX247</f>
        <v>0</v>
      </c>
      <c r="AW247" s="35">
        <f>G247*AO247</f>
        <v>0</v>
      </c>
      <c r="AX247" s="35">
        <f>G247*AP247</f>
        <v>0</v>
      </c>
      <c r="AY247" s="36" t="s">
        <v>453</v>
      </c>
      <c r="AZ247" s="36" t="s">
        <v>454</v>
      </c>
      <c r="BA247" s="12" t="s">
        <v>442</v>
      </c>
      <c r="BC247" s="35">
        <f>AW247+AX247</f>
        <v>0</v>
      </c>
      <c r="BD247" s="35">
        <f>H247/(100-BE247)*100</f>
        <v>0</v>
      </c>
      <c r="BE247" s="35">
        <v>0</v>
      </c>
      <c r="BF247" s="35">
        <f>O247</f>
        <v>0</v>
      </c>
      <c r="BH247" s="35">
        <f>G247*AO247</f>
        <v>0</v>
      </c>
      <c r="BI247" s="35">
        <f>G247*AP247</f>
        <v>0</v>
      </c>
      <c r="BJ247" s="35">
        <f>G247*H247</f>
        <v>0</v>
      </c>
      <c r="BK247" s="35"/>
      <c r="BL247" s="35">
        <v>90</v>
      </c>
      <c r="BW247" s="35" t="str">
        <f>I247</f>
        <v>21</v>
      </c>
      <c r="BX247" s="4" t="s">
        <v>458</v>
      </c>
    </row>
    <row r="248" spans="1:76" ht="27" customHeight="1" x14ac:dyDescent="0.4">
      <c r="A248" s="38"/>
      <c r="C248" s="44" t="s">
        <v>85</v>
      </c>
      <c r="D248" s="86" t="s">
        <v>459</v>
      </c>
      <c r="E248" s="87"/>
      <c r="F248" s="87"/>
      <c r="G248" s="87"/>
      <c r="H248" s="87"/>
      <c r="I248" s="87"/>
      <c r="J248" s="87"/>
      <c r="K248" s="87"/>
      <c r="L248" s="87"/>
      <c r="M248" s="87"/>
      <c r="N248" s="87"/>
      <c r="O248" s="87"/>
      <c r="P248" s="88"/>
    </row>
    <row r="249" spans="1:76" ht="14.6" x14ac:dyDescent="0.4">
      <c r="A249" s="31" t="s">
        <v>56</v>
      </c>
      <c r="B249" s="32" t="s">
        <v>438</v>
      </c>
      <c r="C249" s="32" t="s">
        <v>460</v>
      </c>
      <c r="D249" s="89" t="s">
        <v>461</v>
      </c>
      <c r="E249" s="90"/>
      <c r="F249" s="33" t="s">
        <v>4</v>
      </c>
      <c r="G249" s="33" t="s">
        <v>4</v>
      </c>
      <c r="H249" s="33" t="s">
        <v>4</v>
      </c>
      <c r="I249" s="33" t="s">
        <v>4</v>
      </c>
      <c r="J249" s="1">
        <f>SUM(J250:J268)</f>
        <v>0</v>
      </c>
      <c r="K249" s="1">
        <f>SUM(K250:K268)</f>
        <v>0</v>
      </c>
      <c r="L249" s="1">
        <f>SUM(L250:L268)</f>
        <v>0</v>
      </c>
      <c r="M249" s="1">
        <f>SUM(M250:M268)</f>
        <v>0</v>
      </c>
      <c r="N249" s="12" t="s">
        <v>56</v>
      </c>
      <c r="O249" s="1">
        <f>SUM(O250:O268)</f>
        <v>0.29265000000000002</v>
      </c>
      <c r="P249" s="34" t="s">
        <v>56</v>
      </c>
      <c r="AI249" s="12" t="s">
        <v>438</v>
      </c>
      <c r="AS249" s="1">
        <f>SUM(AJ250:AJ268)</f>
        <v>0</v>
      </c>
      <c r="AT249" s="1">
        <f>SUM(AK250:AK268)</f>
        <v>0</v>
      </c>
      <c r="AU249" s="1">
        <f>SUM(AL250:AL268)</f>
        <v>0</v>
      </c>
    </row>
    <row r="250" spans="1:76" ht="14.6" x14ac:dyDescent="0.4">
      <c r="A250" s="2" t="s">
        <v>313</v>
      </c>
      <c r="B250" s="3" t="s">
        <v>438</v>
      </c>
      <c r="C250" s="3" t="s">
        <v>462</v>
      </c>
      <c r="D250" s="84" t="s">
        <v>463</v>
      </c>
      <c r="E250" s="85"/>
      <c r="F250" s="3" t="s">
        <v>133</v>
      </c>
      <c r="G250" s="35">
        <v>5</v>
      </c>
      <c r="H250" s="82"/>
      <c r="I250" s="36" t="s">
        <v>65</v>
      </c>
      <c r="J250" s="35">
        <f>G250*AO250</f>
        <v>0</v>
      </c>
      <c r="K250" s="35">
        <f>G250*AP250</f>
        <v>0</v>
      </c>
      <c r="L250" s="35">
        <f>G250*H250</f>
        <v>0</v>
      </c>
      <c r="M250" s="35">
        <f>L250*(1+BW250/100)</f>
        <v>0</v>
      </c>
      <c r="N250" s="35">
        <v>0</v>
      </c>
      <c r="O250" s="35">
        <f>G250*N250</f>
        <v>0</v>
      </c>
      <c r="P250" s="37" t="s">
        <v>66</v>
      </c>
      <c r="Z250" s="35">
        <f>IF(AQ250="5",BJ250,0)</f>
        <v>0</v>
      </c>
      <c r="AB250" s="35">
        <f>IF(AQ250="1",BH250,0)</f>
        <v>0</v>
      </c>
      <c r="AC250" s="35">
        <f>IF(AQ250="1",BI250,0)</f>
        <v>0</v>
      </c>
      <c r="AD250" s="35">
        <f>IF(AQ250="7",BH250,0)</f>
        <v>0</v>
      </c>
      <c r="AE250" s="35">
        <f>IF(AQ250="7",BI250,0)</f>
        <v>0</v>
      </c>
      <c r="AF250" s="35">
        <f>IF(AQ250="2",BH250,0)</f>
        <v>0</v>
      </c>
      <c r="AG250" s="35">
        <f>IF(AQ250="2",BI250,0)</f>
        <v>0</v>
      </c>
      <c r="AH250" s="35">
        <f>IF(AQ250="0",BJ250,0)</f>
        <v>0</v>
      </c>
      <c r="AI250" s="12" t="s">
        <v>438</v>
      </c>
      <c r="AJ250" s="35">
        <f>IF(AN250=0,L250,0)</f>
        <v>0</v>
      </c>
      <c r="AK250" s="35">
        <f>IF(AN250=12,L250,0)</f>
        <v>0</v>
      </c>
      <c r="AL250" s="35">
        <f>IF(AN250=21,L250,0)</f>
        <v>0</v>
      </c>
      <c r="AN250" s="35">
        <v>21</v>
      </c>
      <c r="AO250" s="35">
        <f>H250*0</f>
        <v>0</v>
      </c>
      <c r="AP250" s="35">
        <f>H250*(1-0)</f>
        <v>0</v>
      </c>
      <c r="AQ250" s="36" t="s">
        <v>71</v>
      </c>
      <c r="AV250" s="35">
        <f>AW250+AX250</f>
        <v>0</v>
      </c>
      <c r="AW250" s="35">
        <f>G250*AO250</f>
        <v>0</v>
      </c>
      <c r="AX250" s="35">
        <f>G250*AP250</f>
        <v>0</v>
      </c>
      <c r="AY250" s="36" t="s">
        <v>464</v>
      </c>
      <c r="AZ250" s="36" t="s">
        <v>454</v>
      </c>
      <c r="BA250" s="12" t="s">
        <v>442</v>
      </c>
      <c r="BC250" s="35">
        <f>AW250+AX250</f>
        <v>0</v>
      </c>
      <c r="BD250" s="35">
        <f>H250/(100-BE250)*100</f>
        <v>0</v>
      </c>
      <c r="BE250" s="35">
        <v>0</v>
      </c>
      <c r="BF250" s="35">
        <f>O250</f>
        <v>0</v>
      </c>
      <c r="BH250" s="35">
        <f>G250*AO250</f>
        <v>0</v>
      </c>
      <c r="BI250" s="35">
        <f>G250*AP250</f>
        <v>0</v>
      </c>
      <c r="BJ250" s="35">
        <f>G250*H250</f>
        <v>0</v>
      </c>
      <c r="BK250" s="35"/>
      <c r="BL250" s="35"/>
      <c r="BW250" s="35" t="str">
        <f>I250</f>
        <v>21</v>
      </c>
      <c r="BX250" s="4" t="s">
        <v>463</v>
      </c>
    </row>
    <row r="251" spans="1:76" ht="14.6" x14ac:dyDescent="0.4">
      <c r="A251" s="2" t="s">
        <v>465</v>
      </c>
      <c r="B251" s="3" t="s">
        <v>438</v>
      </c>
      <c r="C251" s="3" t="s">
        <v>466</v>
      </c>
      <c r="D251" s="84" t="s">
        <v>467</v>
      </c>
      <c r="E251" s="85"/>
      <c r="F251" s="3" t="s">
        <v>133</v>
      </c>
      <c r="G251" s="35">
        <v>10</v>
      </c>
      <c r="H251" s="82"/>
      <c r="I251" s="36" t="s">
        <v>65</v>
      </c>
      <c r="J251" s="35">
        <f>G251*AO251</f>
        <v>0</v>
      </c>
      <c r="K251" s="35">
        <f>G251*AP251</f>
        <v>0</v>
      </c>
      <c r="L251" s="35">
        <f>G251*H251</f>
        <v>0</v>
      </c>
      <c r="M251" s="35">
        <f>L251*(1+BW251/100)</f>
        <v>0</v>
      </c>
      <c r="N251" s="35">
        <v>0</v>
      </c>
      <c r="O251" s="35">
        <f>G251*N251</f>
        <v>0</v>
      </c>
      <c r="P251" s="37" t="s">
        <v>66</v>
      </c>
      <c r="Z251" s="35">
        <f>IF(AQ251="5",BJ251,0)</f>
        <v>0</v>
      </c>
      <c r="AB251" s="35">
        <f>IF(AQ251="1",BH251,0)</f>
        <v>0</v>
      </c>
      <c r="AC251" s="35">
        <f>IF(AQ251="1",BI251,0)</f>
        <v>0</v>
      </c>
      <c r="AD251" s="35">
        <f>IF(AQ251="7",BH251,0)</f>
        <v>0</v>
      </c>
      <c r="AE251" s="35">
        <f>IF(AQ251="7",BI251,0)</f>
        <v>0</v>
      </c>
      <c r="AF251" s="35">
        <f>IF(AQ251="2",BH251,0)</f>
        <v>0</v>
      </c>
      <c r="AG251" s="35">
        <f>IF(AQ251="2",BI251,0)</f>
        <v>0</v>
      </c>
      <c r="AH251" s="35">
        <f>IF(AQ251="0",BJ251,0)</f>
        <v>0</v>
      </c>
      <c r="AI251" s="12" t="s">
        <v>438</v>
      </c>
      <c r="AJ251" s="35">
        <f>IF(AN251=0,L251,0)</f>
        <v>0</v>
      </c>
      <c r="AK251" s="35">
        <f>IF(AN251=12,L251,0)</f>
        <v>0</v>
      </c>
      <c r="AL251" s="35">
        <f>IF(AN251=21,L251,0)</f>
        <v>0</v>
      </c>
      <c r="AN251" s="35">
        <v>21</v>
      </c>
      <c r="AO251" s="35">
        <f>H251*0</f>
        <v>0</v>
      </c>
      <c r="AP251" s="35">
        <f>H251*(1-0)</f>
        <v>0</v>
      </c>
      <c r="AQ251" s="36" t="s">
        <v>71</v>
      </c>
      <c r="AV251" s="35">
        <f>AW251+AX251</f>
        <v>0</v>
      </c>
      <c r="AW251" s="35">
        <f>G251*AO251</f>
        <v>0</v>
      </c>
      <c r="AX251" s="35">
        <f>G251*AP251</f>
        <v>0</v>
      </c>
      <c r="AY251" s="36" t="s">
        <v>464</v>
      </c>
      <c r="AZ251" s="36" t="s">
        <v>454</v>
      </c>
      <c r="BA251" s="12" t="s">
        <v>442</v>
      </c>
      <c r="BC251" s="35">
        <f>AW251+AX251</f>
        <v>0</v>
      </c>
      <c r="BD251" s="35">
        <f>H251/(100-BE251)*100</f>
        <v>0</v>
      </c>
      <c r="BE251" s="35">
        <v>0</v>
      </c>
      <c r="BF251" s="35">
        <f>O251</f>
        <v>0</v>
      </c>
      <c r="BH251" s="35">
        <f>G251*AO251</f>
        <v>0</v>
      </c>
      <c r="BI251" s="35">
        <f>G251*AP251</f>
        <v>0</v>
      </c>
      <c r="BJ251" s="35">
        <f>G251*H251</f>
        <v>0</v>
      </c>
      <c r="BK251" s="35"/>
      <c r="BL251" s="35"/>
      <c r="BW251" s="35" t="str">
        <f>I251</f>
        <v>21</v>
      </c>
      <c r="BX251" s="4" t="s">
        <v>467</v>
      </c>
    </row>
    <row r="252" spans="1:76" ht="14.6" x14ac:dyDescent="0.4">
      <c r="A252" s="2" t="s">
        <v>468</v>
      </c>
      <c r="B252" s="3" t="s">
        <v>438</v>
      </c>
      <c r="C252" s="3" t="s">
        <v>469</v>
      </c>
      <c r="D252" s="84" t="s">
        <v>470</v>
      </c>
      <c r="E252" s="85"/>
      <c r="F252" s="3" t="s">
        <v>133</v>
      </c>
      <c r="G252" s="35">
        <v>5</v>
      </c>
      <c r="H252" s="82"/>
      <c r="I252" s="36" t="s">
        <v>65</v>
      </c>
      <c r="J252" s="35">
        <f>G252*AO252</f>
        <v>0</v>
      </c>
      <c r="K252" s="35">
        <f>G252*AP252</f>
        <v>0</v>
      </c>
      <c r="L252" s="35">
        <f>G252*H252</f>
        <v>0</v>
      </c>
      <c r="M252" s="35">
        <f>L252*(1+BW252/100)</f>
        <v>0</v>
      </c>
      <c r="N252" s="35">
        <v>0</v>
      </c>
      <c r="O252" s="35">
        <f>G252*N252</f>
        <v>0</v>
      </c>
      <c r="P252" s="37" t="s">
        <v>66</v>
      </c>
      <c r="Z252" s="35">
        <f>IF(AQ252="5",BJ252,0)</f>
        <v>0</v>
      </c>
      <c r="AB252" s="35">
        <f>IF(AQ252="1",BH252,0)</f>
        <v>0</v>
      </c>
      <c r="AC252" s="35">
        <f>IF(AQ252="1",BI252,0)</f>
        <v>0</v>
      </c>
      <c r="AD252" s="35">
        <f>IF(AQ252="7",BH252,0)</f>
        <v>0</v>
      </c>
      <c r="AE252" s="35">
        <f>IF(AQ252="7",BI252,0)</f>
        <v>0</v>
      </c>
      <c r="AF252" s="35">
        <f>IF(AQ252="2",BH252,0)</f>
        <v>0</v>
      </c>
      <c r="AG252" s="35">
        <f>IF(AQ252="2",BI252,0)</f>
        <v>0</v>
      </c>
      <c r="AH252" s="35">
        <f>IF(AQ252="0",BJ252,0)</f>
        <v>0</v>
      </c>
      <c r="AI252" s="12" t="s">
        <v>438</v>
      </c>
      <c r="AJ252" s="35">
        <f>IF(AN252=0,L252,0)</f>
        <v>0</v>
      </c>
      <c r="AK252" s="35">
        <f>IF(AN252=12,L252,0)</f>
        <v>0</v>
      </c>
      <c r="AL252" s="35">
        <f>IF(AN252=21,L252,0)</f>
        <v>0</v>
      </c>
      <c r="AN252" s="35">
        <v>21</v>
      </c>
      <c r="AO252" s="35">
        <f>H252*0</f>
        <v>0</v>
      </c>
      <c r="AP252" s="35">
        <f>H252*(1-0)</f>
        <v>0</v>
      </c>
      <c r="AQ252" s="36" t="s">
        <v>71</v>
      </c>
      <c r="AV252" s="35">
        <f>AW252+AX252</f>
        <v>0</v>
      </c>
      <c r="AW252" s="35">
        <f>G252*AO252</f>
        <v>0</v>
      </c>
      <c r="AX252" s="35">
        <f>G252*AP252</f>
        <v>0</v>
      </c>
      <c r="AY252" s="36" t="s">
        <v>464</v>
      </c>
      <c r="AZ252" s="36" t="s">
        <v>454</v>
      </c>
      <c r="BA252" s="12" t="s">
        <v>442</v>
      </c>
      <c r="BC252" s="35">
        <f>AW252+AX252</f>
        <v>0</v>
      </c>
      <c r="BD252" s="35">
        <f>H252/(100-BE252)*100</f>
        <v>0</v>
      </c>
      <c r="BE252" s="35">
        <v>0</v>
      </c>
      <c r="BF252" s="35">
        <f>O252</f>
        <v>0</v>
      </c>
      <c r="BH252" s="35">
        <f>G252*AO252</f>
        <v>0</v>
      </c>
      <c r="BI252" s="35">
        <f>G252*AP252</f>
        <v>0</v>
      </c>
      <c r="BJ252" s="35">
        <f>G252*H252</f>
        <v>0</v>
      </c>
      <c r="BK252" s="35"/>
      <c r="BL252" s="35"/>
      <c r="BW252" s="35" t="str">
        <f>I252</f>
        <v>21</v>
      </c>
      <c r="BX252" s="4" t="s">
        <v>470</v>
      </c>
    </row>
    <row r="253" spans="1:76" ht="13.5" customHeight="1" x14ac:dyDescent="0.4">
      <c r="A253" s="38"/>
      <c r="C253" s="43" t="s">
        <v>82</v>
      </c>
      <c r="D253" s="94" t="s">
        <v>471</v>
      </c>
      <c r="E253" s="95"/>
      <c r="F253" s="95"/>
      <c r="G253" s="95"/>
      <c r="H253" s="95"/>
      <c r="I253" s="95"/>
      <c r="J253" s="95"/>
      <c r="K253" s="95"/>
      <c r="L253" s="95"/>
      <c r="M253" s="95"/>
      <c r="N253" s="95"/>
      <c r="O253" s="95"/>
      <c r="P253" s="96"/>
    </row>
    <row r="254" spans="1:76" ht="14.6" x14ac:dyDescent="0.4">
      <c r="A254" s="2" t="s">
        <v>472</v>
      </c>
      <c r="B254" s="3" t="s">
        <v>438</v>
      </c>
      <c r="C254" s="3" t="s">
        <v>473</v>
      </c>
      <c r="D254" s="84" t="s">
        <v>756</v>
      </c>
      <c r="E254" s="85"/>
      <c r="F254" s="3" t="s">
        <v>133</v>
      </c>
      <c r="G254" s="35">
        <v>5</v>
      </c>
      <c r="H254" s="82"/>
      <c r="I254" s="36" t="s">
        <v>65</v>
      </c>
      <c r="J254" s="35">
        <f>G254*0</f>
        <v>0</v>
      </c>
      <c r="K254" s="35">
        <f>G254*H254</f>
        <v>0</v>
      </c>
      <c r="L254" s="35">
        <f>G254*H254</f>
        <v>0</v>
      </c>
      <c r="M254" s="35">
        <f>L254*(1+BW254/100)</f>
        <v>0</v>
      </c>
      <c r="N254" s="35">
        <v>0</v>
      </c>
      <c r="O254" s="35">
        <f>G254*N254</f>
        <v>0</v>
      </c>
      <c r="P254" s="37" t="s">
        <v>66</v>
      </c>
      <c r="Z254" s="35">
        <f>IF(AQ254="5",BJ254,0)</f>
        <v>0</v>
      </c>
      <c r="AB254" s="35">
        <f>IF(AQ254="1",BH254,0)</f>
        <v>0</v>
      </c>
      <c r="AC254" s="35">
        <f>IF(AQ254="1",BI254,0)</f>
        <v>0</v>
      </c>
      <c r="AD254" s="35">
        <f>IF(AQ254="7",BH254,0)</f>
        <v>0</v>
      </c>
      <c r="AE254" s="35">
        <f>IF(AQ254="7",BI254,0)</f>
        <v>0</v>
      </c>
      <c r="AF254" s="35">
        <f>IF(AQ254="2",BH254,0)</f>
        <v>0</v>
      </c>
      <c r="AG254" s="35">
        <f>IF(AQ254="2",BI254,0)</f>
        <v>0</v>
      </c>
      <c r="AH254" s="35">
        <f>IF(AQ254="0",BJ254,0)</f>
        <v>0</v>
      </c>
      <c r="AI254" s="12" t="s">
        <v>438</v>
      </c>
      <c r="AJ254" s="35">
        <f>IF(AN254=0,L254,0)</f>
        <v>0</v>
      </c>
      <c r="AK254" s="35">
        <f>IF(AN254=12,L254,0)</f>
        <v>0</v>
      </c>
      <c r="AL254" s="35">
        <f>IF(AN254=21,L254,0)</f>
        <v>0</v>
      </c>
      <c r="AN254" s="35">
        <v>21</v>
      </c>
      <c r="AO254" s="35">
        <f>H254*0.860786397</f>
        <v>0</v>
      </c>
      <c r="AP254" s="35">
        <f>H254*(1-0.860786397)</f>
        <v>0</v>
      </c>
      <c r="AQ254" s="36" t="s">
        <v>71</v>
      </c>
      <c r="AV254" s="35">
        <f>AW254+AX254</f>
        <v>0</v>
      </c>
      <c r="AW254" s="35">
        <f>G254*AO254</f>
        <v>0</v>
      </c>
      <c r="AX254" s="35">
        <f>G254*AP254</f>
        <v>0</v>
      </c>
      <c r="AY254" s="36" t="s">
        <v>464</v>
      </c>
      <c r="AZ254" s="36" t="s">
        <v>454</v>
      </c>
      <c r="BA254" s="12" t="s">
        <v>442</v>
      </c>
      <c r="BC254" s="35">
        <f>AW254+AX254</f>
        <v>0</v>
      </c>
      <c r="BD254" s="35">
        <f>H254/(100-BE254)*100</f>
        <v>0</v>
      </c>
      <c r="BE254" s="35">
        <v>0</v>
      </c>
      <c r="BF254" s="35">
        <f>O254</f>
        <v>0</v>
      </c>
      <c r="BH254" s="35">
        <f>G254*AO254</f>
        <v>0</v>
      </c>
      <c r="BI254" s="35">
        <f>G254*AP254</f>
        <v>0</v>
      </c>
      <c r="BJ254" s="35">
        <f>G254*H254</f>
        <v>0</v>
      </c>
      <c r="BK254" s="35"/>
      <c r="BL254" s="35"/>
      <c r="BW254" s="35" t="str">
        <f>I254</f>
        <v>21</v>
      </c>
      <c r="BX254" s="4" t="s">
        <v>474</v>
      </c>
    </row>
    <row r="255" spans="1:76" ht="27" customHeight="1" x14ac:dyDescent="0.4">
      <c r="A255" s="38"/>
      <c r="C255" s="44" t="s">
        <v>85</v>
      </c>
      <c r="D255" s="86" t="s">
        <v>757</v>
      </c>
      <c r="E255" s="87"/>
      <c r="F255" s="87"/>
      <c r="G255" s="87"/>
      <c r="H255" s="87"/>
      <c r="I255" s="87"/>
      <c r="J255" s="87"/>
      <c r="K255" s="87"/>
      <c r="L255" s="87"/>
      <c r="M255" s="87"/>
      <c r="N255" s="87"/>
      <c r="O255" s="87"/>
      <c r="P255" s="88"/>
    </row>
    <row r="256" spans="1:76" ht="24.9" x14ac:dyDescent="0.4">
      <c r="A256" s="2" t="s">
        <v>475</v>
      </c>
      <c r="B256" s="3" t="s">
        <v>438</v>
      </c>
      <c r="C256" s="3" t="s">
        <v>476</v>
      </c>
      <c r="D256" s="84" t="s">
        <v>477</v>
      </c>
      <c r="E256" s="85"/>
      <c r="F256" s="3" t="s">
        <v>133</v>
      </c>
      <c r="G256" s="35">
        <v>5</v>
      </c>
      <c r="H256" s="82"/>
      <c r="I256" s="36" t="s">
        <v>65</v>
      </c>
      <c r="J256" s="35">
        <f>G256*0</f>
        <v>0</v>
      </c>
      <c r="K256" s="35">
        <f>G256*H256</f>
        <v>0</v>
      </c>
      <c r="L256" s="35">
        <f>G256*H256</f>
        <v>0</v>
      </c>
      <c r="M256" s="35">
        <f>L256*(1+BW256/100)</f>
        <v>0</v>
      </c>
      <c r="N256" s="35">
        <v>2.545E-2</v>
      </c>
      <c r="O256" s="35">
        <f>G256*N256</f>
        <v>0.12725</v>
      </c>
      <c r="P256" s="37" t="s">
        <v>66</v>
      </c>
      <c r="Z256" s="35">
        <f>IF(AQ256="5",BJ256,0)</f>
        <v>0</v>
      </c>
      <c r="AB256" s="35">
        <f>IF(AQ256="1",BH256,0)</f>
        <v>0</v>
      </c>
      <c r="AC256" s="35">
        <f>IF(AQ256="1",BI256,0)</f>
        <v>0</v>
      </c>
      <c r="AD256" s="35">
        <f>IF(AQ256="7",BH256,0)</f>
        <v>0</v>
      </c>
      <c r="AE256" s="35">
        <f>IF(AQ256="7",BI256,0)</f>
        <v>0</v>
      </c>
      <c r="AF256" s="35">
        <f>IF(AQ256="2",BH256,0)</f>
        <v>0</v>
      </c>
      <c r="AG256" s="35">
        <f>IF(AQ256="2",BI256,0)</f>
        <v>0</v>
      </c>
      <c r="AH256" s="35">
        <f>IF(AQ256="0",BJ256,0)</f>
        <v>0</v>
      </c>
      <c r="AI256" s="12" t="s">
        <v>438</v>
      </c>
      <c r="AJ256" s="35">
        <f>IF(AN256=0,L256,0)</f>
        <v>0</v>
      </c>
      <c r="AK256" s="35">
        <f>IF(AN256=12,L256,0)</f>
        <v>0</v>
      </c>
      <c r="AL256" s="35">
        <f>IF(AN256=21,L256,0)</f>
        <v>0</v>
      </c>
      <c r="AN256" s="35">
        <v>21</v>
      </c>
      <c r="AO256" s="35">
        <f>H256*0.877566724</f>
        <v>0</v>
      </c>
      <c r="AP256" s="35">
        <f>H256*(1-0.877566724)</f>
        <v>0</v>
      </c>
      <c r="AQ256" s="36" t="s">
        <v>71</v>
      </c>
      <c r="AV256" s="35">
        <f>AW256+AX256</f>
        <v>0</v>
      </c>
      <c r="AW256" s="35">
        <f>G256*AO256</f>
        <v>0</v>
      </c>
      <c r="AX256" s="35">
        <f>G256*AP256</f>
        <v>0</v>
      </c>
      <c r="AY256" s="36" t="s">
        <v>464</v>
      </c>
      <c r="AZ256" s="36" t="s">
        <v>454</v>
      </c>
      <c r="BA256" s="12" t="s">
        <v>442</v>
      </c>
      <c r="BC256" s="35">
        <f>AW256+AX256</f>
        <v>0</v>
      </c>
      <c r="BD256" s="35">
        <f>H256/(100-BE256)*100</f>
        <v>0</v>
      </c>
      <c r="BE256" s="35">
        <v>0</v>
      </c>
      <c r="BF256" s="35">
        <f>O256</f>
        <v>0.12725</v>
      </c>
      <c r="BH256" s="35">
        <f>G256*AO256</f>
        <v>0</v>
      </c>
      <c r="BI256" s="35">
        <f>G256*AP256</f>
        <v>0</v>
      </c>
      <c r="BJ256" s="35">
        <f>G256*H256</f>
        <v>0</v>
      </c>
      <c r="BK256" s="35"/>
      <c r="BL256" s="35"/>
      <c r="BW256" s="35" t="str">
        <f>I256</f>
        <v>21</v>
      </c>
      <c r="BX256" s="4" t="s">
        <v>477</v>
      </c>
    </row>
    <row r="257" spans="1:76" ht="13.5" customHeight="1" x14ac:dyDescent="0.4">
      <c r="A257" s="38"/>
      <c r="C257" s="43" t="s">
        <v>82</v>
      </c>
      <c r="D257" s="94" t="s">
        <v>755</v>
      </c>
      <c r="E257" s="95"/>
      <c r="F257" s="95"/>
      <c r="G257" s="95"/>
      <c r="H257" s="95"/>
      <c r="I257" s="95"/>
      <c r="J257" s="95"/>
      <c r="K257" s="95"/>
      <c r="L257" s="95"/>
      <c r="M257" s="95"/>
      <c r="N257" s="95"/>
      <c r="O257" s="95"/>
      <c r="P257" s="96"/>
    </row>
    <row r="258" spans="1:76" ht="27" customHeight="1" x14ac:dyDescent="0.4">
      <c r="A258" s="38"/>
      <c r="C258" s="44" t="s">
        <v>85</v>
      </c>
      <c r="D258" s="86" t="s">
        <v>478</v>
      </c>
      <c r="E258" s="87"/>
      <c r="F258" s="87"/>
      <c r="G258" s="87"/>
      <c r="H258" s="87"/>
      <c r="I258" s="87"/>
      <c r="J258" s="87"/>
      <c r="K258" s="87"/>
      <c r="L258" s="87"/>
      <c r="M258" s="87"/>
      <c r="N258" s="87"/>
      <c r="O258" s="87"/>
      <c r="P258" s="88"/>
    </row>
    <row r="259" spans="1:76" ht="14.6" x14ac:dyDescent="0.4">
      <c r="A259" s="2" t="s">
        <v>479</v>
      </c>
      <c r="B259" s="3" t="s">
        <v>438</v>
      </c>
      <c r="C259" s="3" t="s">
        <v>480</v>
      </c>
      <c r="D259" s="84" t="s">
        <v>481</v>
      </c>
      <c r="E259" s="85"/>
      <c r="F259" s="3" t="s">
        <v>133</v>
      </c>
      <c r="G259" s="35">
        <v>5</v>
      </c>
      <c r="H259" s="82"/>
      <c r="I259" s="36" t="s">
        <v>65</v>
      </c>
      <c r="J259" s="35">
        <f>G259*AO259</f>
        <v>0</v>
      </c>
      <c r="K259" s="35">
        <f>G259*AP259</f>
        <v>0</v>
      </c>
      <c r="L259" s="35">
        <f>G259*H259</f>
        <v>0</v>
      </c>
      <c r="M259" s="35">
        <f>L259*(1+BW259/100)</f>
        <v>0</v>
      </c>
      <c r="N259" s="35">
        <v>0</v>
      </c>
      <c r="O259" s="35">
        <f>G259*N259</f>
        <v>0</v>
      </c>
      <c r="P259" s="37" t="s">
        <v>66</v>
      </c>
      <c r="Z259" s="35">
        <f>IF(AQ259="5",BJ259,0)</f>
        <v>0</v>
      </c>
      <c r="AB259" s="35">
        <f>IF(AQ259="1",BH259,0)</f>
        <v>0</v>
      </c>
      <c r="AC259" s="35">
        <f>IF(AQ259="1",BI259,0)</f>
        <v>0</v>
      </c>
      <c r="AD259" s="35">
        <f>IF(AQ259="7",BH259,0)</f>
        <v>0</v>
      </c>
      <c r="AE259" s="35">
        <f>IF(AQ259="7",BI259,0)</f>
        <v>0</v>
      </c>
      <c r="AF259" s="35">
        <f>IF(AQ259="2",BH259,0)</f>
        <v>0</v>
      </c>
      <c r="AG259" s="35">
        <f>IF(AQ259="2",BI259,0)</f>
        <v>0</v>
      </c>
      <c r="AH259" s="35">
        <f>IF(AQ259="0",BJ259,0)</f>
        <v>0</v>
      </c>
      <c r="AI259" s="12" t="s">
        <v>438</v>
      </c>
      <c r="AJ259" s="35">
        <f>IF(AN259=0,L259,0)</f>
        <v>0</v>
      </c>
      <c r="AK259" s="35">
        <f>IF(AN259=12,L259,0)</f>
        <v>0</v>
      </c>
      <c r="AL259" s="35">
        <f>IF(AN259=21,L259,0)</f>
        <v>0</v>
      </c>
      <c r="AN259" s="35">
        <v>21</v>
      </c>
      <c r="AO259" s="35">
        <f>H259*0</f>
        <v>0</v>
      </c>
      <c r="AP259" s="35">
        <f>H259*(1-0)</f>
        <v>0</v>
      </c>
      <c r="AQ259" s="36" t="s">
        <v>71</v>
      </c>
      <c r="AV259" s="35">
        <f>AW259+AX259</f>
        <v>0</v>
      </c>
      <c r="AW259" s="35">
        <f>G259*AO259</f>
        <v>0</v>
      </c>
      <c r="AX259" s="35">
        <f>G259*AP259</f>
        <v>0</v>
      </c>
      <c r="AY259" s="36" t="s">
        <v>464</v>
      </c>
      <c r="AZ259" s="36" t="s">
        <v>454</v>
      </c>
      <c r="BA259" s="12" t="s">
        <v>442</v>
      </c>
      <c r="BC259" s="35">
        <f>AW259+AX259</f>
        <v>0</v>
      </c>
      <c r="BD259" s="35">
        <f>H259/(100-BE259)*100</f>
        <v>0</v>
      </c>
      <c r="BE259" s="35">
        <v>0</v>
      </c>
      <c r="BF259" s="35">
        <f>O259</f>
        <v>0</v>
      </c>
      <c r="BH259" s="35">
        <f>G259*AO259</f>
        <v>0</v>
      </c>
      <c r="BI259" s="35">
        <f>G259*AP259</f>
        <v>0</v>
      </c>
      <c r="BJ259" s="35">
        <f>G259*H259</f>
        <v>0</v>
      </c>
      <c r="BK259" s="35"/>
      <c r="BL259" s="35"/>
      <c r="BW259" s="35" t="str">
        <f>I259</f>
        <v>21</v>
      </c>
      <c r="BX259" s="4" t="s">
        <v>481</v>
      </c>
    </row>
    <row r="260" spans="1:76" ht="14.6" x14ac:dyDescent="0.4">
      <c r="A260" s="2" t="s">
        <v>482</v>
      </c>
      <c r="B260" s="3" t="s">
        <v>438</v>
      </c>
      <c r="C260" s="3" t="s">
        <v>483</v>
      </c>
      <c r="D260" s="84" t="s">
        <v>484</v>
      </c>
      <c r="E260" s="85"/>
      <c r="F260" s="3" t="s">
        <v>98</v>
      </c>
      <c r="G260" s="35">
        <v>5</v>
      </c>
      <c r="H260" s="82"/>
      <c r="I260" s="36" t="s">
        <v>65</v>
      </c>
      <c r="J260" s="35">
        <f>G260*AO260</f>
        <v>0</v>
      </c>
      <c r="K260" s="35">
        <f>G260*AP260</f>
        <v>0</v>
      </c>
      <c r="L260" s="35">
        <f>G260*H260</f>
        <v>0</v>
      </c>
      <c r="M260" s="35">
        <f>L260*(1+BW260/100)</f>
        <v>0</v>
      </c>
      <c r="N260" s="35">
        <v>6.0000000000000002E-5</v>
      </c>
      <c r="O260" s="35">
        <f>G260*N260</f>
        <v>3.0000000000000003E-4</v>
      </c>
      <c r="P260" s="37" t="s">
        <v>66</v>
      </c>
      <c r="Z260" s="35">
        <f>IF(AQ260="5",BJ260,0)</f>
        <v>0</v>
      </c>
      <c r="AB260" s="35">
        <f>IF(AQ260="1",BH260,0)</f>
        <v>0</v>
      </c>
      <c r="AC260" s="35">
        <f>IF(AQ260="1",BI260,0)</f>
        <v>0</v>
      </c>
      <c r="AD260" s="35">
        <f>IF(AQ260="7",BH260,0)</f>
        <v>0</v>
      </c>
      <c r="AE260" s="35">
        <f>IF(AQ260="7",BI260,0)</f>
        <v>0</v>
      </c>
      <c r="AF260" s="35">
        <f>IF(AQ260="2",BH260,0)</f>
        <v>0</v>
      </c>
      <c r="AG260" s="35">
        <f>IF(AQ260="2",BI260,0)</f>
        <v>0</v>
      </c>
      <c r="AH260" s="35">
        <f>IF(AQ260="0",BJ260,0)</f>
        <v>0</v>
      </c>
      <c r="AI260" s="12" t="s">
        <v>438</v>
      </c>
      <c r="AJ260" s="35">
        <f>IF(AN260=0,L260,0)</f>
        <v>0</v>
      </c>
      <c r="AK260" s="35">
        <f>IF(AN260=12,L260,0)</f>
        <v>0</v>
      </c>
      <c r="AL260" s="35">
        <f>IF(AN260=21,L260,0)</f>
        <v>0</v>
      </c>
      <c r="AN260" s="35">
        <v>21</v>
      </c>
      <c r="AO260" s="35">
        <f>H260*0.44697286</f>
        <v>0</v>
      </c>
      <c r="AP260" s="35">
        <f>H260*(1-0.44697286)</f>
        <v>0</v>
      </c>
      <c r="AQ260" s="36" t="s">
        <v>71</v>
      </c>
      <c r="AV260" s="35">
        <f>AW260+AX260</f>
        <v>0</v>
      </c>
      <c r="AW260" s="35">
        <f>G260*AO260</f>
        <v>0</v>
      </c>
      <c r="AX260" s="35">
        <f>G260*AP260</f>
        <v>0</v>
      </c>
      <c r="AY260" s="36" t="s">
        <v>464</v>
      </c>
      <c r="AZ260" s="36" t="s">
        <v>454</v>
      </c>
      <c r="BA260" s="12" t="s">
        <v>442</v>
      </c>
      <c r="BC260" s="35">
        <f>AW260+AX260</f>
        <v>0</v>
      </c>
      <c r="BD260" s="35">
        <f>H260/(100-BE260)*100</f>
        <v>0</v>
      </c>
      <c r="BE260" s="35">
        <v>0</v>
      </c>
      <c r="BF260" s="35">
        <f>O260</f>
        <v>3.0000000000000003E-4</v>
      </c>
      <c r="BH260" s="35">
        <f>G260*AO260</f>
        <v>0</v>
      </c>
      <c r="BI260" s="35">
        <f>G260*AP260</f>
        <v>0</v>
      </c>
      <c r="BJ260" s="35">
        <f>G260*H260</f>
        <v>0</v>
      </c>
      <c r="BK260" s="35"/>
      <c r="BL260" s="35"/>
      <c r="BW260" s="35" t="str">
        <f>I260</f>
        <v>21</v>
      </c>
      <c r="BX260" s="4" t="s">
        <v>484</v>
      </c>
    </row>
    <row r="261" spans="1:76" ht="13.5" customHeight="1" x14ac:dyDescent="0.4">
      <c r="A261" s="38"/>
      <c r="C261" s="43" t="s">
        <v>82</v>
      </c>
      <c r="D261" s="97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  <c r="P261" s="99"/>
    </row>
    <row r="262" spans="1:76" ht="14.6" x14ac:dyDescent="0.4">
      <c r="A262" s="2" t="s">
        <v>485</v>
      </c>
      <c r="B262" s="3" t="s">
        <v>438</v>
      </c>
      <c r="C262" s="3" t="s">
        <v>486</v>
      </c>
      <c r="D262" s="84" t="s">
        <v>487</v>
      </c>
      <c r="E262" s="85"/>
      <c r="F262" s="3" t="s">
        <v>98</v>
      </c>
      <c r="G262" s="35">
        <v>25</v>
      </c>
      <c r="H262" s="82"/>
      <c r="I262" s="36" t="s">
        <v>65</v>
      </c>
      <c r="J262" s="35">
        <f>G262*AO262</f>
        <v>0</v>
      </c>
      <c r="K262" s="35">
        <f>G262*AP262</f>
        <v>0</v>
      </c>
      <c r="L262" s="35">
        <f>G262*H262</f>
        <v>0</v>
      </c>
      <c r="M262" s="35">
        <f>L262*(1+BW262/100)</f>
        <v>0</v>
      </c>
      <c r="N262" s="35">
        <v>2.2000000000000001E-4</v>
      </c>
      <c r="O262" s="35">
        <f>G262*N262</f>
        <v>5.5000000000000005E-3</v>
      </c>
      <c r="P262" s="37" t="s">
        <v>66</v>
      </c>
      <c r="Z262" s="35">
        <f>IF(AQ262="5",BJ262,0)</f>
        <v>0</v>
      </c>
      <c r="AB262" s="35">
        <f>IF(AQ262="1",BH262,0)</f>
        <v>0</v>
      </c>
      <c r="AC262" s="35">
        <f>IF(AQ262="1",BI262,0)</f>
        <v>0</v>
      </c>
      <c r="AD262" s="35">
        <f>IF(AQ262="7",BH262,0)</f>
        <v>0</v>
      </c>
      <c r="AE262" s="35">
        <f>IF(AQ262="7",BI262,0)</f>
        <v>0</v>
      </c>
      <c r="AF262" s="35">
        <f>IF(AQ262="2",BH262,0)</f>
        <v>0</v>
      </c>
      <c r="AG262" s="35">
        <f>IF(AQ262="2",BI262,0)</f>
        <v>0</v>
      </c>
      <c r="AH262" s="35">
        <f>IF(AQ262="0",BJ262,0)</f>
        <v>0</v>
      </c>
      <c r="AI262" s="12" t="s">
        <v>438</v>
      </c>
      <c r="AJ262" s="35">
        <f>IF(AN262=0,L262,0)</f>
        <v>0</v>
      </c>
      <c r="AK262" s="35">
        <f>IF(AN262=12,L262,0)</f>
        <v>0</v>
      </c>
      <c r="AL262" s="35">
        <f>IF(AN262=21,L262,0)</f>
        <v>0</v>
      </c>
      <c r="AN262" s="35">
        <v>21</v>
      </c>
      <c r="AO262" s="35">
        <f>H262*0.46335175</f>
        <v>0</v>
      </c>
      <c r="AP262" s="35">
        <f>H262*(1-0.46335175)</f>
        <v>0</v>
      </c>
      <c r="AQ262" s="36" t="s">
        <v>71</v>
      </c>
      <c r="AV262" s="35">
        <f>AW262+AX262</f>
        <v>0</v>
      </c>
      <c r="AW262" s="35">
        <f>G262*AO262</f>
        <v>0</v>
      </c>
      <c r="AX262" s="35">
        <f>G262*AP262</f>
        <v>0</v>
      </c>
      <c r="AY262" s="36" t="s">
        <v>464</v>
      </c>
      <c r="AZ262" s="36" t="s">
        <v>454</v>
      </c>
      <c r="BA262" s="12" t="s">
        <v>442</v>
      </c>
      <c r="BC262" s="35">
        <f>AW262+AX262</f>
        <v>0</v>
      </c>
      <c r="BD262" s="35">
        <f>H262/(100-BE262)*100</f>
        <v>0</v>
      </c>
      <c r="BE262" s="35">
        <v>0</v>
      </c>
      <c r="BF262" s="35">
        <f>O262</f>
        <v>5.5000000000000005E-3</v>
      </c>
      <c r="BH262" s="35">
        <f>G262*AO262</f>
        <v>0</v>
      </c>
      <c r="BI262" s="35">
        <f>G262*AP262</f>
        <v>0</v>
      </c>
      <c r="BJ262" s="35">
        <f>G262*H262</f>
        <v>0</v>
      </c>
      <c r="BK262" s="35"/>
      <c r="BL262" s="35"/>
      <c r="BW262" s="35" t="str">
        <f>I262</f>
        <v>21</v>
      </c>
      <c r="BX262" s="4" t="s">
        <v>487</v>
      </c>
    </row>
    <row r="263" spans="1:76" ht="13.5" customHeight="1" x14ac:dyDescent="0.4">
      <c r="A263" s="38"/>
      <c r="C263" s="43" t="s">
        <v>82</v>
      </c>
      <c r="D263" s="94" t="s">
        <v>488</v>
      </c>
      <c r="E263" s="95"/>
      <c r="F263" s="95"/>
      <c r="G263" s="95"/>
      <c r="H263" s="95"/>
      <c r="I263" s="95"/>
      <c r="J263" s="95"/>
      <c r="K263" s="95"/>
      <c r="L263" s="95"/>
      <c r="M263" s="95"/>
      <c r="N263" s="95"/>
      <c r="O263" s="95"/>
      <c r="P263" s="96"/>
    </row>
    <row r="264" spans="1:76" ht="14.6" x14ac:dyDescent="0.4">
      <c r="A264" s="38"/>
      <c r="D264" s="39" t="s">
        <v>489</v>
      </c>
      <c r="E264" s="40" t="s">
        <v>56</v>
      </c>
      <c r="G264" s="41">
        <v>25</v>
      </c>
      <c r="P264" s="42"/>
    </row>
    <row r="265" spans="1:76" ht="14.6" x14ac:dyDescent="0.4">
      <c r="A265" s="2" t="s">
        <v>490</v>
      </c>
      <c r="B265" s="3" t="s">
        <v>438</v>
      </c>
      <c r="C265" s="3" t="s">
        <v>491</v>
      </c>
      <c r="D265" s="84" t="s">
        <v>492</v>
      </c>
      <c r="E265" s="85"/>
      <c r="F265" s="3" t="s">
        <v>98</v>
      </c>
      <c r="G265" s="35">
        <v>199.5</v>
      </c>
      <c r="H265" s="82"/>
      <c r="I265" s="36" t="s">
        <v>65</v>
      </c>
      <c r="J265" s="35">
        <v>0</v>
      </c>
      <c r="K265" s="35">
        <f>G265*H265</f>
        <v>0</v>
      </c>
      <c r="L265" s="35">
        <f>G265*H265</f>
        <v>0</v>
      </c>
      <c r="M265" s="35">
        <f>L265*(1+BW265/100)</f>
        <v>0</v>
      </c>
      <c r="N265" s="35">
        <v>8.0000000000000004E-4</v>
      </c>
      <c r="O265" s="35">
        <f>G265*N265</f>
        <v>0.15960000000000002</v>
      </c>
      <c r="P265" s="37" t="s">
        <v>66</v>
      </c>
      <c r="Z265" s="35">
        <f>IF(AQ265="5",BJ265,0)</f>
        <v>0</v>
      </c>
      <c r="AB265" s="35">
        <f>IF(AQ265="1",BH265,0)</f>
        <v>0</v>
      </c>
      <c r="AC265" s="35">
        <f>IF(AQ265="1",BI265,0)</f>
        <v>0</v>
      </c>
      <c r="AD265" s="35">
        <f>IF(AQ265="7",BH265,0)</f>
        <v>0</v>
      </c>
      <c r="AE265" s="35">
        <f>IF(AQ265="7",BI265,0)</f>
        <v>0</v>
      </c>
      <c r="AF265" s="35">
        <f>IF(AQ265="2",BH265,0)</f>
        <v>0</v>
      </c>
      <c r="AG265" s="35">
        <f>IF(AQ265="2",BI265,0)</f>
        <v>0</v>
      </c>
      <c r="AH265" s="35">
        <f>IF(AQ265="0",BJ265,0)</f>
        <v>0</v>
      </c>
      <c r="AI265" s="12" t="s">
        <v>438</v>
      </c>
      <c r="AJ265" s="35">
        <f>IF(AN265=0,L265,0)</f>
        <v>0</v>
      </c>
      <c r="AK265" s="35">
        <f>IF(AN265=12,L265,0)</f>
        <v>0</v>
      </c>
      <c r="AL265" s="35">
        <f>IF(AN265=21,L265,0)</f>
        <v>0</v>
      </c>
      <c r="AN265" s="35">
        <v>21</v>
      </c>
      <c r="AO265" s="35">
        <f>H265*0.827517401</f>
        <v>0</v>
      </c>
      <c r="AP265" s="35">
        <f>H265*(1-0.827517401)</f>
        <v>0</v>
      </c>
      <c r="AQ265" s="36" t="s">
        <v>71</v>
      </c>
      <c r="AV265" s="35">
        <f>AW265+AX265</f>
        <v>0</v>
      </c>
      <c r="AW265" s="35">
        <f>G265*AO265</f>
        <v>0</v>
      </c>
      <c r="AX265" s="35">
        <f>G265*AP265</f>
        <v>0</v>
      </c>
      <c r="AY265" s="36" t="s">
        <v>464</v>
      </c>
      <c r="AZ265" s="36" t="s">
        <v>454</v>
      </c>
      <c r="BA265" s="12" t="s">
        <v>442</v>
      </c>
      <c r="BC265" s="35">
        <f>AW265+AX265</f>
        <v>0</v>
      </c>
      <c r="BD265" s="35">
        <f>H265/(100-BE265)*100</f>
        <v>0</v>
      </c>
      <c r="BE265" s="35">
        <v>0</v>
      </c>
      <c r="BF265" s="35">
        <f>O265</f>
        <v>0.15960000000000002</v>
      </c>
      <c r="BH265" s="35">
        <f>G265*AO265</f>
        <v>0</v>
      </c>
      <c r="BI265" s="35">
        <f>G265*AP265</f>
        <v>0</v>
      </c>
      <c r="BJ265" s="35">
        <f>G265*H265</f>
        <v>0</v>
      </c>
      <c r="BK265" s="35"/>
      <c r="BL265" s="35"/>
      <c r="BW265" s="35" t="str">
        <f>I265</f>
        <v>21</v>
      </c>
      <c r="BX265" s="4" t="s">
        <v>492</v>
      </c>
    </row>
    <row r="266" spans="1:76" ht="13.5" customHeight="1" x14ac:dyDescent="0.4">
      <c r="A266" s="38"/>
      <c r="C266" s="43" t="s">
        <v>82</v>
      </c>
      <c r="D266" s="94" t="s">
        <v>754</v>
      </c>
      <c r="E266" s="95"/>
      <c r="F266" s="95"/>
      <c r="G266" s="95"/>
      <c r="H266" s="95"/>
      <c r="I266" s="95"/>
      <c r="J266" s="95"/>
      <c r="K266" s="95"/>
      <c r="L266" s="95"/>
      <c r="M266" s="95"/>
      <c r="N266" s="95"/>
      <c r="O266" s="95"/>
      <c r="P266" s="96"/>
    </row>
    <row r="267" spans="1:76" ht="14.6" x14ac:dyDescent="0.4">
      <c r="A267" s="38"/>
      <c r="D267" s="39" t="s">
        <v>493</v>
      </c>
      <c r="E267" s="40" t="s">
        <v>56</v>
      </c>
      <c r="G267" s="41">
        <v>199.5</v>
      </c>
      <c r="P267" s="42"/>
    </row>
    <row r="268" spans="1:76" ht="14.6" x14ac:dyDescent="0.4">
      <c r="A268" s="2" t="s">
        <v>494</v>
      </c>
      <c r="B268" s="3" t="s">
        <v>438</v>
      </c>
      <c r="C268" s="3" t="s">
        <v>495</v>
      </c>
      <c r="D268" s="84" t="s">
        <v>496</v>
      </c>
      <c r="E268" s="85"/>
      <c r="F268" s="3" t="s">
        <v>497</v>
      </c>
      <c r="G268" s="35">
        <v>1</v>
      </c>
      <c r="H268" s="82"/>
      <c r="I268" s="36" t="s">
        <v>65</v>
      </c>
      <c r="J268" s="35">
        <f>G268*AO268</f>
        <v>0</v>
      </c>
      <c r="K268" s="35">
        <f>G268*AP268</f>
        <v>0</v>
      </c>
      <c r="L268" s="35">
        <f>G268*H268</f>
        <v>0</v>
      </c>
      <c r="M268" s="35">
        <f>L268*(1+BW268/100)</f>
        <v>0</v>
      </c>
      <c r="N268" s="35">
        <v>0</v>
      </c>
      <c r="O268" s="35">
        <f>G268*N268</f>
        <v>0</v>
      </c>
      <c r="P268" s="37" t="s">
        <v>318</v>
      </c>
      <c r="Z268" s="35">
        <f>IF(AQ268="5",BJ268,0)</f>
        <v>0</v>
      </c>
      <c r="AB268" s="35">
        <f>IF(AQ268="1",BH268,0)</f>
        <v>0</v>
      </c>
      <c r="AC268" s="35">
        <f>IF(AQ268="1",BI268,0)</f>
        <v>0</v>
      </c>
      <c r="AD268" s="35">
        <f>IF(AQ268="7",BH268,0)</f>
        <v>0</v>
      </c>
      <c r="AE268" s="35">
        <f>IF(AQ268="7",BI268,0)</f>
        <v>0</v>
      </c>
      <c r="AF268" s="35">
        <f>IF(AQ268="2",BH268,0)</f>
        <v>0</v>
      </c>
      <c r="AG268" s="35">
        <f>IF(AQ268="2",BI268,0)</f>
        <v>0</v>
      </c>
      <c r="AH268" s="35">
        <f>IF(AQ268="0",BJ268,0)</f>
        <v>0</v>
      </c>
      <c r="AI268" s="12" t="s">
        <v>438</v>
      </c>
      <c r="AJ268" s="35">
        <f>IF(AN268=0,L268,0)</f>
        <v>0</v>
      </c>
      <c r="AK268" s="35">
        <f>IF(AN268=12,L268,0)</f>
        <v>0</v>
      </c>
      <c r="AL268" s="35">
        <f>IF(AN268=21,L268,0)</f>
        <v>0</v>
      </c>
      <c r="AN268" s="35">
        <v>21</v>
      </c>
      <c r="AO268" s="35">
        <f>H268*0</f>
        <v>0</v>
      </c>
      <c r="AP268" s="35">
        <f>H268*(1-0)</f>
        <v>0</v>
      </c>
      <c r="AQ268" s="36" t="s">
        <v>71</v>
      </c>
      <c r="AV268" s="35">
        <f>AW268+AX268</f>
        <v>0</v>
      </c>
      <c r="AW268" s="35">
        <f>G268*AO268</f>
        <v>0</v>
      </c>
      <c r="AX268" s="35">
        <f>G268*AP268</f>
        <v>0</v>
      </c>
      <c r="AY268" s="36" t="s">
        <v>464</v>
      </c>
      <c r="AZ268" s="36" t="s">
        <v>454</v>
      </c>
      <c r="BA268" s="12" t="s">
        <v>442</v>
      </c>
      <c r="BC268" s="35">
        <f>AW268+AX268</f>
        <v>0</v>
      </c>
      <c r="BD268" s="35">
        <f>H268/(100-BE268)*100</f>
        <v>0</v>
      </c>
      <c r="BE268" s="35">
        <v>0</v>
      </c>
      <c r="BF268" s="35">
        <f>O268</f>
        <v>0</v>
      </c>
      <c r="BH268" s="35">
        <f>G268*AO268</f>
        <v>0</v>
      </c>
      <c r="BI268" s="35">
        <f>G268*AP268</f>
        <v>0</v>
      </c>
      <c r="BJ268" s="35">
        <f>G268*H268</f>
        <v>0</v>
      </c>
      <c r="BK268" s="35"/>
      <c r="BL268" s="35"/>
      <c r="BW268" s="35" t="str">
        <f>I268</f>
        <v>21</v>
      </c>
      <c r="BX268" s="4" t="s">
        <v>496</v>
      </c>
    </row>
    <row r="269" spans="1:76" ht="13.5" customHeight="1" x14ac:dyDescent="0.4">
      <c r="A269" s="38"/>
      <c r="C269" s="43" t="s">
        <v>82</v>
      </c>
      <c r="D269" s="94" t="s">
        <v>498</v>
      </c>
      <c r="E269" s="95"/>
      <c r="F269" s="95"/>
      <c r="G269" s="95"/>
      <c r="H269" s="95"/>
      <c r="I269" s="95"/>
      <c r="J269" s="95"/>
      <c r="K269" s="95"/>
      <c r="L269" s="95"/>
      <c r="M269" s="95"/>
      <c r="N269" s="95"/>
      <c r="O269" s="95"/>
      <c r="P269" s="96"/>
    </row>
    <row r="270" spans="1:76" ht="13.5" customHeight="1" x14ac:dyDescent="0.4">
      <c r="A270" s="38"/>
      <c r="C270" s="44" t="s">
        <v>85</v>
      </c>
      <c r="D270" s="86" t="s">
        <v>499</v>
      </c>
      <c r="E270" s="87"/>
      <c r="F270" s="87"/>
      <c r="G270" s="87"/>
      <c r="H270" s="87"/>
      <c r="I270" s="87"/>
      <c r="J270" s="87"/>
      <c r="K270" s="87"/>
      <c r="L270" s="87"/>
      <c r="M270" s="87"/>
      <c r="N270" s="87"/>
      <c r="O270" s="87"/>
      <c r="P270" s="88"/>
    </row>
    <row r="271" spans="1:76" ht="14.6" x14ac:dyDescent="0.4">
      <c r="A271" s="31" t="s">
        <v>56</v>
      </c>
      <c r="B271" s="32" t="s">
        <v>438</v>
      </c>
      <c r="C271" s="32" t="s">
        <v>500</v>
      </c>
      <c r="D271" s="89" t="s">
        <v>501</v>
      </c>
      <c r="E271" s="90"/>
      <c r="F271" s="33" t="s">
        <v>4</v>
      </c>
      <c r="G271" s="33" t="s">
        <v>4</v>
      </c>
      <c r="H271" s="33" t="s">
        <v>4</v>
      </c>
      <c r="I271" s="33" t="s">
        <v>4</v>
      </c>
      <c r="J271" s="1">
        <f>SUM(J272:J272)</f>
        <v>0</v>
      </c>
      <c r="K271" s="1">
        <f>SUM(K272:K272)</f>
        <v>0</v>
      </c>
      <c r="L271" s="1">
        <f>SUM(L272:L272)</f>
        <v>0</v>
      </c>
      <c r="M271" s="1">
        <f>SUM(M272:M272)</f>
        <v>0</v>
      </c>
      <c r="N271" s="12" t="s">
        <v>56</v>
      </c>
      <c r="O271" s="1">
        <f>SUM(O272:O272)</f>
        <v>0</v>
      </c>
      <c r="P271" s="34" t="s">
        <v>56</v>
      </c>
      <c r="AI271" s="12" t="s">
        <v>438</v>
      </c>
      <c r="AS271" s="1">
        <f>SUM(AJ272:AJ272)</f>
        <v>0</v>
      </c>
      <c r="AT271" s="1">
        <f>SUM(AK272:AK272)</f>
        <v>0</v>
      </c>
      <c r="AU271" s="1">
        <f>SUM(AL272:AL272)</f>
        <v>0</v>
      </c>
    </row>
    <row r="272" spans="1:76" ht="14.6" x14ac:dyDescent="0.4">
      <c r="A272" s="2" t="s">
        <v>502</v>
      </c>
      <c r="B272" s="3" t="s">
        <v>438</v>
      </c>
      <c r="C272" s="3" t="s">
        <v>503</v>
      </c>
      <c r="D272" s="84" t="s">
        <v>504</v>
      </c>
      <c r="E272" s="85"/>
      <c r="F272" s="3" t="s">
        <v>98</v>
      </c>
      <c r="G272" s="35">
        <v>190</v>
      </c>
      <c r="H272" s="82"/>
      <c r="I272" s="36" t="s">
        <v>65</v>
      </c>
      <c r="J272" s="35">
        <f>G272*AO272</f>
        <v>0</v>
      </c>
      <c r="K272" s="35">
        <f>G272*AP272</f>
        <v>0</v>
      </c>
      <c r="L272" s="35">
        <f>G272*H272</f>
        <v>0</v>
      </c>
      <c r="M272" s="35">
        <f>L272*(1+BW272/100)</f>
        <v>0</v>
      </c>
      <c r="N272" s="35">
        <v>0</v>
      </c>
      <c r="O272" s="35">
        <f>G272*N272</f>
        <v>0</v>
      </c>
      <c r="P272" s="37" t="s">
        <v>66</v>
      </c>
      <c r="Z272" s="35">
        <f>IF(AQ272="5",BJ272,0)</f>
        <v>0</v>
      </c>
      <c r="AB272" s="35">
        <f>IF(AQ272="1",BH272,0)</f>
        <v>0</v>
      </c>
      <c r="AC272" s="35">
        <f>IF(AQ272="1",BI272,0)</f>
        <v>0</v>
      </c>
      <c r="AD272" s="35">
        <f>IF(AQ272="7",BH272,0)</f>
        <v>0</v>
      </c>
      <c r="AE272" s="35">
        <f>IF(AQ272="7",BI272,0)</f>
        <v>0</v>
      </c>
      <c r="AF272" s="35">
        <f>IF(AQ272="2",BH272,0)</f>
        <v>0</v>
      </c>
      <c r="AG272" s="35">
        <f>IF(AQ272="2",BI272,0)</f>
        <v>0</v>
      </c>
      <c r="AH272" s="35">
        <f>IF(AQ272="0",BJ272,0)</f>
        <v>0</v>
      </c>
      <c r="AI272" s="12" t="s">
        <v>438</v>
      </c>
      <c r="AJ272" s="35">
        <f>IF(AN272=0,L272,0)</f>
        <v>0</v>
      </c>
      <c r="AK272" s="35">
        <f>IF(AN272=12,L272,0)</f>
        <v>0</v>
      </c>
      <c r="AL272" s="35">
        <f>IF(AN272=21,L272,0)</f>
        <v>0</v>
      </c>
      <c r="AN272" s="35">
        <v>21</v>
      </c>
      <c r="AO272" s="35">
        <f>H272*0</f>
        <v>0</v>
      </c>
      <c r="AP272" s="35">
        <f>H272*(1-0)</f>
        <v>0</v>
      </c>
      <c r="AQ272" s="36" t="s">
        <v>71</v>
      </c>
      <c r="AV272" s="35">
        <f>AW272+AX272</f>
        <v>0</v>
      </c>
      <c r="AW272" s="35">
        <f>G272*AO272</f>
        <v>0</v>
      </c>
      <c r="AX272" s="35">
        <f>G272*AP272</f>
        <v>0</v>
      </c>
      <c r="AY272" s="36" t="s">
        <v>505</v>
      </c>
      <c r="AZ272" s="36" t="s">
        <v>454</v>
      </c>
      <c r="BA272" s="12" t="s">
        <v>442</v>
      </c>
      <c r="BC272" s="35">
        <f>AW272+AX272</f>
        <v>0</v>
      </c>
      <c r="BD272" s="35">
        <f>H272/(100-BE272)*100</f>
        <v>0</v>
      </c>
      <c r="BE272" s="35">
        <v>0</v>
      </c>
      <c r="BF272" s="35">
        <f>O272</f>
        <v>0</v>
      </c>
      <c r="BH272" s="35">
        <f>G272*AO272</f>
        <v>0</v>
      </c>
      <c r="BI272" s="35">
        <f>G272*AP272</f>
        <v>0</v>
      </c>
      <c r="BJ272" s="35">
        <f>G272*H272</f>
        <v>0</v>
      </c>
      <c r="BK272" s="35"/>
      <c r="BL272" s="35"/>
      <c r="BW272" s="35" t="str">
        <f>I272</f>
        <v>21</v>
      </c>
      <c r="BX272" s="4" t="s">
        <v>504</v>
      </c>
    </row>
    <row r="273" spans="1:76" ht="14.6" x14ac:dyDescent="0.4">
      <c r="A273" s="31" t="s">
        <v>56</v>
      </c>
      <c r="B273" s="32" t="s">
        <v>438</v>
      </c>
      <c r="C273" s="32" t="s">
        <v>506</v>
      </c>
      <c r="D273" s="89" t="s">
        <v>507</v>
      </c>
      <c r="E273" s="90"/>
      <c r="F273" s="33" t="s">
        <v>4</v>
      </c>
      <c r="G273" s="33" t="s">
        <v>4</v>
      </c>
      <c r="H273" s="33" t="s">
        <v>4</v>
      </c>
      <c r="I273" s="33" t="s">
        <v>4</v>
      </c>
      <c r="J273" s="1">
        <f>SUM(J274:J307)</f>
        <v>0</v>
      </c>
      <c r="K273" s="1">
        <f>SUM(K274:K307)</f>
        <v>0</v>
      </c>
      <c r="L273" s="1">
        <f>SUM(L274:L307)</f>
        <v>0</v>
      </c>
      <c r="M273" s="1">
        <f>SUM(M274:M307)</f>
        <v>0</v>
      </c>
      <c r="N273" s="12" t="s">
        <v>56</v>
      </c>
      <c r="O273" s="1">
        <f>SUM(O274:O307)</f>
        <v>49.514691999999997</v>
      </c>
      <c r="P273" s="34" t="s">
        <v>56</v>
      </c>
      <c r="AI273" s="12" t="s">
        <v>438</v>
      </c>
      <c r="AS273" s="1">
        <f>SUM(AJ274:AJ307)</f>
        <v>0</v>
      </c>
      <c r="AT273" s="1">
        <f>SUM(AK274:AK307)</f>
        <v>0</v>
      </c>
      <c r="AU273" s="1">
        <f>SUM(AL274:AL307)</f>
        <v>0</v>
      </c>
    </row>
    <row r="274" spans="1:76" ht="14.6" x14ac:dyDescent="0.4">
      <c r="A274" s="2" t="s">
        <v>508</v>
      </c>
      <c r="B274" s="3" t="s">
        <v>438</v>
      </c>
      <c r="C274" s="3" t="s">
        <v>509</v>
      </c>
      <c r="D274" s="84" t="s">
        <v>510</v>
      </c>
      <c r="E274" s="85"/>
      <c r="F274" s="3" t="s">
        <v>109</v>
      </c>
      <c r="G274" s="35">
        <v>12.5</v>
      </c>
      <c r="H274" s="82"/>
      <c r="I274" s="36" t="s">
        <v>65</v>
      </c>
      <c r="J274" s="35">
        <f>G274*AO274</f>
        <v>0</v>
      </c>
      <c r="K274" s="35">
        <f>G274*AP274</f>
        <v>0</v>
      </c>
      <c r="L274" s="35">
        <f>G274*H274</f>
        <v>0</v>
      </c>
      <c r="M274" s="35">
        <f>L274*(1+BW274/100)</f>
        <v>0</v>
      </c>
      <c r="N274" s="35">
        <v>0</v>
      </c>
      <c r="O274" s="35">
        <f>G274*N274</f>
        <v>0</v>
      </c>
      <c r="P274" s="37" t="s">
        <v>66</v>
      </c>
      <c r="Z274" s="35">
        <f>IF(AQ274="5",BJ274,0)</f>
        <v>0</v>
      </c>
      <c r="AB274" s="35">
        <f>IF(AQ274="1",BH274,0)</f>
        <v>0</v>
      </c>
      <c r="AC274" s="35">
        <f>IF(AQ274="1",BI274,0)</f>
        <v>0</v>
      </c>
      <c r="AD274" s="35">
        <f>IF(AQ274="7",BH274,0)</f>
        <v>0</v>
      </c>
      <c r="AE274" s="35">
        <f>IF(AQ274="7",BI274,0)</f>
        <v>0</v>
      </c>
      <c r="AF274" s="35">
        <f>IF(AQ274="2",BH274,0)</f>
        <v>0</v>
      </c>
      <c r="AG274" s="35">
        <f>IF(AQ274="2",BI274,0)</f>
        <v>0</v>
      </c>
      <c r="AH274" s="35">
        <f>IF(AQ274="0",BJ274,0)</f>
        <v>0</v>
      </c>
      <c r="AI274" s="12" t="s">
        <v>438</v>
      </c>
      <c r="AJ274" s="35">
        <f>IF(AN274=0,L274,0)</f>
        <v>0</v>
      </c>
      <c r="AK274" s="35">
        <f>IF(AN274=12,L274,0)</f>
        <v>0</v>
      </c>
      <c r="AL274" s="35">
        <f>IF(AN274=21,L274,0)</f>
        <v>0</v>
      </c>
      <c r="AN274" s="35">
        <v>21</v>
      </c>
      <c r="AO274" s="35">
        <f>H274*0</f>
        <v>0</v>
      </c>
      <c r="AP274" s="35">
        <f>H274*(1-0)</f>
        <v>0</v>
      </c>
      <c r="AQ274" s="36" t="s">
        <v>61</v>
      </c>
      <c r="AV274" s="35">
        <f>AW274+AX274</f>
        <v>0</v>
      </c>
      <c r="AW274" s="35">
        <f>G274*AO274</f>
        <v>0</v>
      </c>
      <c r="AX274" s="35">
        <f>G274*AP274</f>
        <v>0</v>
      </c>
      <c r="AY274" s="36" t="s">
        <v>511</v>
      </c>
      <c r="AZ274" s="36" t="s">
        <v>454</v>
      </c>
      <c r="BA274" s="12" t="s">
        <v>442</v>
      </c>
      <c r="BC274" s="35">
        <f>AW274+AX274</f>
        <v>0</v>
      </c>
      <c r="BD274" s="35">
        <f>H274/(100-BE274)*100</f>
        <v>0</v>
      </c>
      <c r="BE274" s="35">
        <v>0</v>
      </c>
      <c r="BF274" s="35">
        <f>O274</f>
        <v>0</v>
      </c>
      <c r="BH274" s="35">
        <f>G274*AO274</f>
        <v>0</v>
      </c>
      <c r="BI274" s="35">
        <f>G274*AP274</f>
        <v>0</v>
      </c>
      <c r="BJ274" s="35">
        <f>G274*H274</f>
        <v>0</v>
      </c>
      <c r="BK274" s="35"/>
      <c r="BL274" s="35"/>
      <c r="BW274" s="35" t="str">
        <f>I274</f>
        <v>21</v>
      </c>
      <c r="BX274" s="4" t="s">
        <v>510</v>
      </c>
    </row>
    <row r="275" spans="1:76" ht="14.6" x14ac:dyDescent="0.4">
      <c r="A275" s="2" t="s">
        <v>512</v>
      </c>
      <c r="B275" s="3" t="s">
        <v>438</v>
      </c>
      <c r="C275" s="3" t="s">
        <v>513</v>
      </c>
      <c r="D275" s="84" t="s">
        <v>514</v>
      </c>
      <c r="E275" s="85"/>
      <c r="F275" s="3" t="s">
        <v>515</v>
      </c>
      <c r="G275" s="35">
        <v>0.2</v>
      </c>
      <c r="H275" s="82"/>
      <c r="I275" s="36" t="s">
        <v>65</v>
      </c>
      <c r="J275" s="35">
        <f>G275*AO275</f>
        <v>0</v>
      </c>
      <c r="K275" s="35">
        <f>G275*AP275</f>
        <v>0</v>
      </c>
      <c r="L275" s="35">
        <f>G275*H275</f>
        <v>0</v>
      </c>
      <c r="M275" s="35">
        <f>L275*(1+BW275/100)</f>
        <v>0</v>
      </c>
      <c r="N275" s="35">
        <v>3.4209999999999997E-2</v>
      </c>
      <c r="O275" s="35">
        <f>G275*N275</f>
        <v>6.842E-3</v>
      </c>
      <c r="P275" s="37" t="s">
        <v>66</v>
      </c>
      <c r="Z275" s="35">
        <f>IF(AQ275="5",BJ275,0)</f>
        <v>0</v>
      </c>
      <c r="AB275" s="35">
        <f>IF(AQ275="1",BH275,0)</f>
        <v>0</v>
      </c>
      <c r="AC275" s="35">
        <f>IF(AQ275="1",BI275,0)</f>
        <v>0</v>
      </c>
      <c r="AD275" s="35">
        <f>IF(AQ275="7",BH275,0)</f>
        <v>0</v>
      </c>
      <c r="AE275" s="35">
        <f>IF(AQ275="7",BI275,0)</f>
        <v>0</v>
      </c>
      <c r="AF275" s="35">
        <f>IF(AQ275="2",BH275,0)</f>
        <v>0</v>
      </c>
      <c r="AG275" s="35">
        <f>IF(AQ275="2",BI275,0)</f>
        <v>0</v>
      </c>
      <c r="AH275" s="35">
        <f>IF(AQ275="0",BJ275,0)</f>
        <v>0</v>
      </c>
      <c r="AI275" s="12" t="s">
        <v>438</v>
      </c>
      <c r="AJ275" s="35">
        <f>IF(AN275=0,L275,0)</f>
        <v>0</v>
      </c>
      <c r="AK275" s="35">
        <f>IF(AN275=12,L275,0)</f>
        <v>0</v>
      </c>
      <c r="AL275" s="35">
        <f>IF(AN275=21,L275,0)</f>
        <v>0</v>
      </c>
      <c r="AN275" s="35">
        <v>21</v>
      </c>
      <c r="AO275" s="35">
        <f>H275*0.225535897</f>
        <v>0</v>
      </c>
      <c r="AP275" s="35">
        <f>H275*(1-0.225535897)</f>
        <v>0</v>
      </c>
      <c r="AQ275" s="36" t="s">
        <v>71</v>
      </c>
      <c r="AV275" s="35">
        <f>AW275+AX275</f>
        <v>0</v>
      </c>
      <c r="AW275" s="35">
        <f>G275*AO275</f>
        <v>0</v>
      </c>
      <c r="AX275" s="35">
        <f>G275*AP275</f>
        <v>0</v>
      </c>
      <c r="AY275" s="36" t="s">
        <v>511</v>
      </c>
      <c r="AZ275" s="36" t="s">
        <v>454</v>
      </c>
      <c r="BA275" s="12" t="s">
        <v>442</v>
      </c>
      <c r="BC275" s="35">
        <f>AW275+AX275</f>
        <v>0</v>
      </c>
      <c r="BD275" s="35">
        <f>H275/(100-BE275)*100</f>
        <v>0</v>
      </c>
      <c r="BE275" s="35">
        <v>0</v>
      </c>
      <c r="BF275" s="35">
        <f>O275</f>
        <v>6.842E-3</v>
      </c>
      <c r="BH275" s="35">
        <f>G275*AO275</f>
        <v>0</v>
      </c>
      <c r="BI275" s="35">
        <f>G275*AP275</f>
        <v>0</v>
      </c>
      <c r="BJ275" s="35">
        <f>G275*H275</f>
        <v>0</v>
      </c>
      <c r="BK275" s="35"/>
      <c r="BL275" s="35"/>
      <c r="BW275" s="35" t="str">
        <f>I275</f>
        <v>21</v>
      </c>
      <c r="BX275" s="4" t="s">
        <v>514</v>
      </c>
    </row>
    <row r="276" spans="1:76" ht="13.5" customHeight="1" x14ac:dyDescent="0.4">
      <c r="A276" s="38"/>
      <c r="C276" s="43" t="s">
        <v>82</v>
      </c>
      <c r="D276" s="94" t="s">
        <v>516</v>
      </c>
      <c r="E276" s="95"/>
      <c r="F276" s="95"/>
      <c r="G276" s="95"/>
      <c r="H276" s="95"/>
      <c r="I276" s="95"/>
      <c r="J276" s="95"/>
      <c r="K276" s="95"/>
      <c r="L276" s="95"/>
      <c r="M276" s="95"/>
      <c r="N276" s="95"/>
      <c r="O276" s="95"/>
      <c r="P276" s="96"/>
    </row>
    <row r="277" spans="1:76" ht="14.6" x14ac:dyDescent="0.4">
      <c r="A277" s="2" t="s">
        <v>517</v>
      </c>
      <c r="B277" s="3" t="s">
        <v>438</v>
      </c>
      <c r="C277" s="3" t="s">
        <v>518</v>
      </c>
      <c r="D277" s="84" t="s">
        <v>519</v>
      </c>
      <c r="E277" s="85"/>
      <c r="F277" s="3" t="s">
        <v>64</v>
      </c>
      <c r="G277" s="35">
        <v>74</v>
      </c>
      <c r="H277" s="82"/>
      <c r="I277" s="36" t="s">
        <v>65</v>
      </c>
      <c r="J277" s="35">
        <f>G277*AO277</f>
        <v>0</v>
      </c>
      <c r="K277" s="35">
        <f>G277*AP277</f>
        <v>0</v>
      </c>
      <c r="L277" s="35">
        <f>G277*H277</f>
        <v>0</v>
      </c>
      <c r="M277" s="35">
        <f>L277*(1+BW277/100)</f>
        <v>0</v>
      </c>
      <c r="N277" s="35">
        <v>0</v>
      </c>
      <c r="O277" s="35">
        <f>G277*N277</f>
        <v>0</v>
      </c>
      <c r="P277" s="37" t="s">
        <v>66</v>
      </c>
      <c r="Z277" s="35">
        <f>IF(AQ277="5",BJ277,0)</f>
        <v>0</v>
      </c>
      <c r="AB277" s="35">
        <f>IF(AQ277="1",BH277,0)</f>
        <v>0</v>
      </c>
      <c r="AC277" s="35">
        <f>IF(AQ277="1",BI277,0)</f>
        <v>0</v>
      </c>
      <c r="AD277" s="35">
        <f>IF(AQ277="7",BH277,0)</f>
        <v>0</v>
      </c>
      <c r="AE277" s="35">
        <f>IF(AQ277="7",BI277,0)</f>
        <v>0</v>
      </c>
      <c r="AF277" s="35">
        <f>IF(AQ277="2",BH277,0)</f>
        <v>0</v>
      </c>
      <c r="AG277" s="35">
        <f>IF(AQ277="2",BI277,0)</f>
        <v>0</v>
      </c>
      <c r="AH277" s="35">
        <f>IF(AQ277="0",BJ277,0)</f>
        <v>0</v>
      </c>
      <c r="AI277" s="12" t="s">
        <v>438</v>
      </c>
      <c r="AJ277" s="35">
        <f>IF(AN277=0,L277,0)</f>
        <v>0</v>
      </c>
      <c r="AK277" s="35">
        <f>IF(AN277=12,L277,0)</f>
        <v>0</v>
      </c>
      <c r="AL277" s="35">
        <f>IF(AN277=21,L277,0)</f>
        <v>0</v>
      </c>
      <c r="AN277" s="35">
        <v>21</v>
      </c>
      <c r="AO277" s="35">
        <f>H277*0</f>
        <v>0</v>
      </c>
      <c r="AP277" s="35">
        <f>H277*(1-0)</f>
        <v>0</v>
      </c>
      <c r="AQ277" s="36" t="s">
        <v>71</v>
      </c>
      <c r="AV277" s="35">
        <f>AW277+AX277</f>
        <v>0</v>
      </c>
      <c r="AW277" s="35">
        <f>G277*AO277</f>
        <v>0</v>
      </c>
      <c r="AX277" s="35">
        <f>G277*AP277</f>
        <v>0</v>
      </c>
      <c r="AY277" s="36" t="s">
        <v>511</v>
      </c>
      <c r="AZ277" s="36" t="s">
        <v>454</v>
      </c>
      <c r="BA277" s="12" t="s">
        <v>442</v>
      </c>
      <c r="BC277" s="35">
        <f>AW277+AX277</f>
        <v>0</v>
      </c>
      <c r="BD277" s="35">
        <f>H277/(100-BE277)*100</f>
        <v>0</v>
      </c>
      <c r="BE277" s="35">
        <v>0</v>
      </c>
      <c r="BF277" s="35">
        <f>O277</f>
        <v>0</v>
      </c>
      <c r="BH277" s="35">
        <f>G277*AO277</f>
        <v>0</v>
      </c>
      <c r="BI277" s="35">
        <f>G277*AP277</f>
        <v>0</v>
      </c>
      <c r="BJ277" s="35">
        <f>G277*H277</f>
        <v>0</v>
      </c>
      <c r="BK277" s="35"/>
      <c r="BL277" s="35"/>
      <c r="BW277" s="35" t="str">
        <f>I277</f>
        <v>21</v>
      </c>
      <c r="BX277" s="4" t="s">
        <v>519</v>
      </c>
    </row>
    <row r="278" spans="1:76" ht="13.5" customHeight="1" x14ac:dyDescent="0.4">
      <c r="A278" s="38"/>
      <c r="C278" s="43" t="s">
        <v>82</v>
      </c>
      <c r="D278" s="94" t="s">
        <v>520</v>
      </c>
      <c r="E278" s="95"/>
      <c r="F278" s="95"/>
      <c r="G278" s="95"/>
      <c r="H278" s="95"/>
      <c r="I278" s="95"/>
      <c r="J278" s="95"/>
      <c r="K278" s="95"/>
      <c r="L278" s="95"/>
      <c r="M278" s="95"/>
      <c r="N278" s="95"/>
      <c r="O278" s="95"/>
      <c r="P278" s="96"/>
    </row>
    <row r="279" spans="1:76" ht="14.6" x14ac:dyDescent="0.4">
      <c r="A279" s="38"/>
      <c r="D279" s="39" t="s">
        <v>521</v>
      </c>
      <c r="E279" s="40" t="s">
        <v>56</v>
      </c>
      <c r="G279" s="41">
        <v>74</v>
      </c>
      <c r="P279" s="42"/>
    </row>
    <row r="280" spans="1:76" ht="14.6" x14ac:dyDescent="0.4">
      <c r="A280" s="2" t="s">
        <v>522</v>
      </c>
      <c r="B280" s="3" t="s">
        <v>438</v>
      </c>
      <c r="C280" s="3" t="s">
        <v>523</v>
      </c>
      <c r="D280" s="84" t="s">
        <v>524</v>
      </c>
      <c r="E280" s="85"/>
      <c r="F280" s="3" t="s">
        <v>133</v>
      </c>
      <c r="G280" s="35">
        <v>5</v>
      </c>
      <c r="H280" s="82"/>
      <c r="I280" s="36" t="s">
        <v>65</v>
      </c>
      <c r="J280" s="35">
        <f>G280*AO280</f>
        <v>0</v>
      </c>
      <c r="K280" s="35">
        <f>G280*AP280</f>
        <v>0</v>
      </c>
      <c r="L280" s="35">
        <f>G280*H280</f>
        <v>0</v>
      </c>
      <c r="M280" s="35">
        <f>L280*(1+BW280/100)</f>
        <v>0</v>
      </c>
      <c r="N280" s="35">
        <v>0</v>
      </c>
      <c r="O280" s="35">
        <f>G280*N280</f>
        <v>0</v>
      </c>
      <c r="P280" s="37" t="s">
        <v>66</v>
      </c>
      <c r="Z280" s="35">
        <f>IF(AQ280="5",BJ280,0)</f>
        <v>0</v>
      </c>
      <c r="AB280" s="35">
        <f>IF(AQ280="1",BH280,0)</f>
        <v>0</v>
      </c>
      <c r="AC280" s="35">
        <f>IF(AQ280="1",BI280,0)</f>
        <v>0</v>
      </c>
      <c r="AD280" s="35">
        <f>IF(AQ280="7",BH280,0)</f>
        <v>0</v>
      </c>
      <c r="AE280" s="35">
        <f>IF(AQ280="7",BI280,0)</f>
        <v>0</v>
      </c>
      <c r="AF280" s="35">
        <f>IF(AQ280="2",BH280,0)</f>
        <v>0</v>
      </c>
      <c r="AG280" s="35">
        <f>IF(AQ280="2",BI280,0)</f>
        <v>0</v>
      </c>
      <c r="AH280" s="35">
        <f>IF(AQ280="0",BJ280,0)</f>
        <v>0</v>
      </c>
      <c r="AI280" s="12" t="s">
        <v>438</v>
      </c>
      <c r="AJ280" s="35">
        <f>IF(AN280=0,L280,0)</f>
        <v>0</v>
      </c>
      <c r="AK280" s="35">
        <f>IF(AN280=12,L280,0)</f>
        <v>0</v>
      </c>
      <c r="AL280" s="35">
        <f>IF(AN280=21,L280,0)</f>
        <v>0</v>
      </c>
      <c r="AN280" s="35">
        <v>21</v>
      </c>
      <c r="AO280" s="35">
        <f>H280*0</f>
        <v>0</v>
      </c>
      <c r="AP280" s="35">
        <f>H280*(1-0)</f>
        <v>0</v>
      </c>
      <c r="AQ280" s="36" t="s">
        <v>71</v>
      </c>
      <c r="AV280" s="35">
        <f>AW280+AX280</f>
        <v>0</v>
      </c>
      <c r="AW280" s="35">
        <f>G280*AO280</f>
        <v>0</v>
      </c>
      <c r="AX280" s="35">
        <f>G280*AP280</f>
        <v>0</v>
      </c>
      <c r="AY280" s="36" t="s">
        <v>511</v>
      </c>
      <c r="AZ280" s="36" t="s">
        <v>454</v>
      </c>
      <c r="BA280" s="12" t="s">
        <v>442</v>
      </c>
      <c r="BC280" s="35">
        <f>AW280+AX280</f>
        <v>0</v>
      </c>
      <c r="BD280" s="35">
        <f>H280/(100-BE280)*100</f>
        <v>0</v>
      </c>
      <c r="BE280" s="35">
        <v>0</v>
      </c>
      <c r="BF280" s="35">
        <f>O280</f>
        <v>0</v>
      </c>
      <c r="BH280" s="35">
        <f>G280*AO280</f>
        <v>0</v>
      </c>
      <c r="BI280" s="35">
        <f>G280*AP280</f>
        <v>0</v>
      </c>
      <c r="BJ280" s="35">
        <f>G280*H280</f>
        <v>0</v>
      </c>
      <c r="BK280" s="35"/>
      <c r="BL280" s="35"/>
      <c r="BW280" s="35" t="str">
        <f>I280</f>
        <v>21</v>
      </c>
      <c r="BX280" s="4" t="s">
        <v>524</v>
      </c>
    </row>
    <row r="281" spans="1:76" ht="13.5" customHeight="1" x14ac:dyDescent="0.4">
      <c r="A281" s="38"/>
      <c r="C281" s="43" t="s">
        <v>82</v>
      </c>
      <c r="D281" s="94" t="s">
        <v>525</v>
      </c>
      <c r="E281" s="95"/>
      <c r="F281" s="95"/>
      <c r="G281" s="95"/>
      <c r="H281" s="95"/>
      <c r="I281" s="95"/>
      <c r="J281" s="95"/>
      <c r="K281" s="95"/>
      <c r="L281" s="95"/>
      <c r="M281" s="95"/>
      <c r="N281" s="95"/>
      <c r="O281" s="95"/>
      <c r="P281" s="96"/>
    </row>
    <row r="282" spans="1:76" ht="14.6" x14ac:dyDescent="0.4">
      <c r="A282" s="2" t="s">
        <v>526</v>
      </c>
      <c r="B282" s="3" t="s">
        <v>438</v>
      </c>
      <c r="C282" s="3" t="s">
        <v>527</v>
      </c>
      <c r="D282" s="84" t="s">
        <v>528</v>
      </c>
      <c r="E282" s="85"/>
      <c r="F282" s="3" t="s">
        <v>109</v>
      </c>
      <c r="G282" s="35">
        <v>3.25</v>
      </c>
      <c r="H282" s="82"/>
      <c r="I282" s="36" t="s">
        <v>65</v>
      </c>
      <c r="J282" s="35">
        <f>G282*AO282</f>
        <v>0</v>
      </c>
      <c r="K282" s="35">
        <f>G282*AP282</f>
        <v>0</v>
      </c>
      <c r="L282" s="35">
        <f>G282*H282</f>
        <v>0</v>
      </c>
      <c r="M282" s="35">
        <f>L282*(1+BW282/100)</f>
        <v>0</v>
      </c>
      <c r="N282" s="35">
        <v>2.5249999999999999</v>
      </c>
      <c r="O282" s="35">
        <f>G282*N282</f>
        <v>8.2062499999999989</v>
      </c>
      <c r="P282" s="37" t="s">
        <v>66</v>
      </c>
      <c r="Z282" s="35">
        <f>IF(AQ282="5",BJ282,0)</f>
        <v>0</v>
      </c>
      <c r="AB282" s="35">
        <f>IF(AQ282="1",BH282,0)</f>
        <v>0</v>
      </c>
      <c r="AC282" s="35">
        <f>IF(AQ282="1",BI282,0)</f>
        <v>0</v>
      </c>
      <c r="AD282" s="35">
        <f>IF(AQ282="7",BH282,0)</f>
        <v>0</v>
      </c>
      <c r="AE282" s="35">
        <f>IF(AQ282="7",BI282,0)</f>
        <v>0</v>
      </c>
      <c r="AF282" s="35">
        <f>IF(AQ282="2",BH282,0)</f>
        <v>0</v>
      </c>
      <c r="AG282" s="35">
        <f>IF(AQ282="2",BI282,0)</f>
        <v>0</v>
      </c>
      <c r="AH282" s="35">
        <f>IF(AQ282="0",BJ282,0)</f>
        <v>0</v>
      </c>
      <c r="AI282" s="12" t="s">
        <v>438</v>
      </c>
      <c r="AJ282" s="35">
        <f>IF(AN282=0,L282,0)</f>
        <v>0</v>
      </c>
      <c r="AK282" s="35">
        <f>IF(AN282=12,L282,0)</f>
        <v>0</v>
      </c>
      <c r="AL282" s="35">
        <f>IF(AN282=21,L282,0)</f>
        <v>0</v>
      </c>
      <c r="AN282" s="35">
        <v>21</v>
      </c>
      <c r="AO282" s="35">
        <f>H282*0.604869392</f>
        <v>0</v>
      </c>
      <c r="AP282" s="35">
        <f>H282*(1-0.604869392)</f>
        <v>0</v>
      </c>
      <c r="AQ282" s="36" t="s">
        <v>71</v>
      </c>
      <c r="AV282" s="35">
        <f>AW282+AX282</f>
        <v>0</v>
      </c>
      <c r="AW282" s="35">
        <f>G282*AO282</f>
        <v>0</v>
      </c>
      <c r="AX282" s="35">
        <f>G282*AP282</f>
        <v>0</v>
      </c>
      <c r="AY282" s="36" t="s">
        <v>511</v>
      </c>
      <c r="AZ282" s="36" t="s">
        <v>454</v>
      </c>
      <c r="BA282" s="12" t="s">
        <v>442</v>
      </c>
      <c r="BC282" s="35">
        <f>AW282+AX282</f>
        <v>0</v>
      </c>
      <c r="BD282" s="35">
        <f>H282/(100-BE282)*100</f>
        <v>0</v>
      </c>
      <c r="BE282" s="35">
        <v>0</v>
      </c>
      <c r="BF282" s="35">
        <f>O282</f>
        <v>8.2062499999999989</v>
      </c>
      <c r="BH282" s="35">
        <f>G282*AO282</f>
        <v>0</v>
      </c>
      <c r="BI282" s="35">
        <f>G282*AP282</f>
        <v>0</v>
      </c>
      <c r="BJ282" s="35">
        <f>G282*H282</f>
        <v>0</v>
      </c>
      <c r="BK282" s="35"/>
      <c r="BL282" s="35"/>
      <c r="BW282" s="35" t="str">
        <f>I282</f>
        <v>21</v>
      </c>
      <c r="BX282" s="4" t="s">
        <v>528</v>
      </c>
    </row>
    <row r="283" spans="1:76" ht="14.6" x14ac:dyDescent="0.4">
      <c r="A283" s="38"/>
      <c r="D283" s="39" t="s">
        <v>529</v>
      </c>
      <c r="E283" s="40" t="s">
        <v>56</v>
      </c>
      <c r="G283" s="41">
        <v>3.25</v>
      </c>
      <c r="P283" s="42"/>
    </row>
    <row r="284" spans="1:76" ht="14.6" x14ac:dyDescent="0.4">
      <c r="A284" s="2" t="s">
        <v>530</v>
      </c>
      <c r="B284" s="3" t="s">
        <v>438</v>
      </c>
      <c r="C284" s="3" t="s">
        <v>531</v>
      </c>
      <c r="D284" s="84" t="s">
        <v>532</v>
      </c>
      <c r="E284" s="85"/>
      <c r="F284" s="3" t="s">
        <v>133</v>
      </c>
      <c r="G284" s="35">
        <v>5</v>
      </c>
      <c r="H284" s="82"/>
      <c r="I284" s="36" t="s">
        <v>65</v>
      </c>
      <c r="J284" s="35">
        <f>G284*AO284</f>
        <v>0</v>
      </c>
      <c r="K284" s="35">
        <f>G284*AP284</f>
        <v>0</v>
      </c>
      <c r="L284" s="35">
        <f>G284*H284</f>
        <v>0</v>
      </c>
      <c r="M284" s="35">
        <f>L284*(1+BW284/100)</f>
        <v>0</v>
      </c>
      <c r="N284" s="35">
        <v>1.23325</v>
      </c>
      <c r="O284" s="35">
        <f>G284*N284</f>
        <v>6.1662499999999998</v>
      </c>
      <c r="P284" s="37" t="s">
        <v>66</v>
      </c>
      <c r="Z284" s="35">
        <f>IF(AQ284="5",BJ284,0)</f>
        <v>0</v>
      </c>
      <c r="AB284" s="35">
        <f>IF(AQ284="1",BH284,0)</f>
        <v>0</v>
      </c>
      <c r="AC284" s="35">
        <f>IF(AQ284="1",BI284,0)</f>
        <v>0</v>
      </c>
      <c r="AD284" s="35">
        <f>IF(AQ284="7",BH284,0)</f>
        <v>0</v>
      </c>
      <c r="AE284" s="35">
        <f>IF(AQ284="7",BI284,0)</f>
        <v>0</v>
      </c>
      <c r="AF284" s="35">
        <f>IF(AQ284="2",BH284,0)</f>
        <v>0</v>
      </c>
      <c r="AG284" s="35">
        <f>IF(AQ284="2",BI284,0)</f>
        <v>0</v>
      </c>
      <c r="AH284" s="35">
        <f>IF(AQ284="0",BJ284,0)</f>
        <v>0</v>
      </c>
      <c r="AI284" s="12" t="s">
        <v>438</v>
      </c>
      <c r="AJ284" s="35">
        <f>IF(AN284=0,L284,0)</f>
        <v>0</v>
      </c>
      <c r="AK284" s="35">
        <f>IF(AN284=12,L284,0)</f>
        <v>0</v>
      </c>
      <c r="AL284" s="35">
        <f>IF(AN284=21,L284,0)</f>
        <v>0</v>
      </c>
      <c r="AN284" s="35">
        <v>21</v>
      </c>
      <c r="AO284" s="35">
        <f>H284*0.708134913</f>
        <v>0</v>
      </c>
      <c r="AP284" s="35">
        <f>H284*(1-0.708134913)</f>
        <v>0</v>
      </c>
      <c r="AQ284" s="36" t="s">
        <v>71</v>
      </c>
      <c r="AV284" s="35">
        <f>AW284+AX284</f>
        <v>0</v>
      </c>
      <c r="AW284" s="35">
        <f>G284*AO284</f>
        <v>0</v>
      </c>
      <c r="AX284" s="35">
        <f>G284*AP284</f>
        <v>0</v>
      </c>
      <c r="AY284" s="36" t="s">
        <v>511</v>
      </c>
      <c r="AZ284" s="36" t="s">
        <v>454</v>
      </c>
      <c r="BA284" s="12" t="s">
        <v>442</v>
      </c>
      <c r="BC284" s="35">
        <f>AW284+AX284</f>
        <v>0</v>
      </c>
      <c r="BD284" s="35">
        <f>H284/(100-BE284)*100</f>
        <v>0</v>
      </c>
      <c r="BE284" s="35">
        <v>0</v>
      </c>
      <c r="BF284" s="35">
        <f>O284</f>
        <v>6.1662499999999998</v>
      </c>
      <c r="BH284" s="35">
        <f>G284*AO284</f>
        <v>0</v>
      </c>
      <c r="BI284" s="35">
        <f>G284*AP284</f>
        <v>0</v>
      </c>
      <c r="BJ284" s="35">
        <f>G284*H284</f>
        <v>0</v>
      </c>
      <c r="BK284" s="35"/>
      <c r="BL284" s="35"/>
      <c r="BW284" s="35" t="str">
        <f>I284</f>
        <v>21</v>
      </c>
      <c r="BX284" s="4" t="s">
        <v>532</v>
      </c>
    </row>
    <row r="285" spans="1:76" ht="13.5" customHeight="1" x14ac:dyDescent="0.4">
      <c r="A285" s="38"/>
      <c r="C285" s="43" t="s">
        <v>82</v>
      </c>
      <c r="D285" s="94" t="s">
        <v>533</v>
      </c>
      <c r="E285" s="95"/>
      <c r="F285" s="95"/>
      <c r="G285" s="95"/>
      <c r="H285" s="95"/>
      <c r="I285" s="95"/>
      <c r="J285" s="95"/>
      <c r="K285" s="95"/>
      <c r="L285" s="95"/>
      <c r="M285" s="95"/>
      <c r="N285" s="95"/>
      <c r="O285" s="95"/>
      <c r="P285" s="96"/>
    </row>
    <row r="286" spans="1:76" ht="14.6" x14ac:dyDescent="0.4">
      <c r="A286" s="2" t="s">
        <v>534</v>
      </c>
      <c r="B286" s="3" t="s">
        <v>438</v>
      </c>
      <c r="C286" s="3" t="s">
        <v>535</v>
      </c>
      <c r="D286" s="84" t="s">
        <v>536</v>
      </c>
      <c r="E286" s="85"/>
      <c r="F286" s="3" t="s">
        <v>98</v>
      </c>
      <c r="G286" s="35">
        <v>40</v>
      </c>
      <c r="H286" s="82"/>
      <c r="I286" s="36" t="s">
        <v>65</v>
      </c>
      <c r="J286" s="35">
        <f>G286*AO286</f>
        <v>0</v>
      </c>
      <c r="K286" s="35">
        <f>G286*AP286</f>
        <v>0</v>
      </c>
      <c r="L286" s="35">
        <f>G286*H286</f>
        <v>0</v>
      </c>
      <c r="M286" s="35">
        <f>L286*(1+BW286/100)</f>
        <v>0</v>
      </c>
      <c r="N286" s="35">
        <v>0</v>
      </c>
      <c r="O286" s="35">
        <f>G286*N286</f>
        <v>0</v>
      </c>
      <c r="P286" s="37" t="s">
        <v>66</v>
      </c>
      <c r="Z286" s="35">
        <f>IF(AQ286="5",BJ286,0)</f>
        <v>0</v>
      </c>
      <c r="AB286" s="35">
        <f>IF(AQ286="1",BH286,0)</f>
        <v>0</v>
      </c>
      <c r="AC286" s="35">
        <f>IF(AQ286="1",BI286,0)</f>
        <v>0</v>
      </c>
      <c r="AD286" s="35">
        <f>IF(AQ286="7",BH286,0)</f>
        <v>0</v>
      </c>
      <c r="AE286" s="35">
        <f>IF(AQ286="7",BI286,0)</f>
        <v>0</v>
      </c>
      <c r="AF286" s="35">
        <f>IF(AQ286="2",BH286,0)</f>
        <v>0</v>
      </c>
      <c r="AG286" s="35">
        <f>IF(AQ286="2",BI286,0)</f>
        <v>0</v>
      </c>
      <c r="AH286" s="35">
        <f>IF(AQ286="0",BJ286,0)</f>
        <v>0</v>
      </c>
      <c r="AI286" s="12" t="s">
        <v>438</v>
      </c>
      <c r="AJ286" s="35">
        <f>IF(AN286=0,L286,0)</f>
        <v>0</v>
      </c>
      <c r="AK286" s="35">
        <f>IF(AN286=12,L286,0)</f>
        <v>0</v>
      </c>
      <c r="AL286" s="35">
        <f>IF(AN286=21,L286,0)</f>
        <v>0</v>
      </c>
      <c r="AN286" s="35">
        <v>21</v>
      </c>
      <c r="AO286" s="35">
        <f>H286*0</f>
        <v>0</v>
      </c>
      <c r="AP286" s="35">
        <f>H286*(1-0)</f>
        <v>0</v>
      </c>
      <c r="AQ286" s="36" t="s">
        <v>71</v>
      </c>
      <c r="AV286" s="35">
        <f>AW286+AX286</f>
        <v>0</v>
      </c>
      <c r="AW286" s="35">
        <f>G286*AO286</f>
        <v>0</v>
      </c>
      <c r="AX286" s="35">
        <f>G286*AP286</f>
        <v>0</v>
      </c>
      <c r="AY286" s="36" t="s">
        <v>511</v>
      </c>
      <c r="AZ286" s="36" t="s">
        <v>454</v>
      </c>
      <c r="BA286" s="12" t="s">
        <v>442</v>
      </c>
      <c r="BC286" s="35">
        <f>AW286+AX286</f>
        <v>0</v>
      </c>
      <c r="BD286" s="35">
        <f>H286/(100-BE286)*100</f>
        <v>0</v>
      </c>
      <c r="BE286" s="35">
        <v>0</v>
      </c>
      <c r="BF286" s="35">
        <f>O286</f>
        <v>0</v>
      </c>
      <c r="BH286" s="35">
        <f>G286*AO286</f>
        <v>0</v>
      </c>
      <c r="BI286" s="35">
        <f>G286*AP286</f>
        <v>0</v>
      </c>
      <c r="BJ286" s="35">
        <f>G286*H286</f>
        <v>0</v>
      </c>
      <c r="BK286" s="35"/>
      <c r="BL286" s="35"/>
      <c r="BW286" s="35" t="str">
        <f>I286</f>
        <v>21</v>
      </c>
      <c r="BX286" s="4" t="s">
        <v>536</v>
      </c>
    </row>
    <row r="287" spans="1:76" ht="14.6" x14ac:dyDescent="0.4">
      <c r="A287" s="2" t="s">
        <v>537</v>
      </c>
      <c r="B287" s="3" t="s">
        <v>438</v>
      </c>
      <c r="C287" s="3" t="s">
        <v>538</v>
      </c>
      <c r="D287" s="84" t="s">
        <v>539</v>
      </c>
      <c r="E287" s="85"/>
      <c r="F287" s="3" t="s">
        <v>98</v>
      </c>
      <c r="G287" s="35">
        <v>150</v>
      </c>
      <c r="H287" s="82"/>
      <c r="I287" s="36" t="s">
        <v>65</v>
      </c>
      <c r="J287" s="35">
        <f>G287*AO287</f>
        <v>0</v>
      </c>
      <c r="K287" s="35">
        <f>G287*AP287</f>
        <v>0</v>
      </c>
      <c r="L287" s="35">
        <f>G287*H287</f>
        <v>0</v>
      </c>
      <c r="M287" s="35">
        <f>L287*(1+BW287/100)</f>
        <v>0</v>
      </c>
      <c r="N287" s="35">
        <v>0</v>
      </c>
      <c r="O287" s="35">
        <f>G287*N287</f>
        <v>0</v>
      </c>
      <c r="P287" s="37" t="s">
        <v>66</v>
      </c>
      <c r="Z287" s="35">
        <f>IF(AQ287="5",BJ287,0)</f>
        <v>0</v>
      </c>
      <c r="AB287" s="35">
        <f>IF(AQ287="1",BH287,0)</f>
        <v>0</v>
      </c>
      <c r="AC287" s="35">
        <f>IF(AQ287="1",BI287,0)</f>
        <v>0</v>
      </c>
      <c r="AD287" s="35">
        <f>IF(AQ287="7",BH287,0)</f>
        <v>0</v>
      </c>
      <c r="AE287" s="35">
        <f>IF(AQ287="7",BI287,0)</f>
        <v>0</v>
      </c>
      <c r="AF287" s="35">
        <f>IF(AQ287="2",BH287,0)</f>
        <v>0</v>
      </c>
      <c r="AG287" s="35">
        <f>IF(AQ287="2",BI287,0)</f>
        <v>0</v>
      </c>
      <c r="AH287" s="35">
        <f>IF(AQ287="0",BJ287,0)</f>
        <v>0</v>
      </c>
      <c r="AI287" s="12" t="s">
        <v>438</v>
      </c>
      <c r="AJ287" s="35">
        <f>IF(AN287=0,L287,0)</f>
        <v>0</v>
      </c>
      <c r="AK287" s="35">
        <f>IF(AN287=12,L287,0)</f>
        <v>0</v>
      </c>
      <c r="AL287" s="35">
        <f>IF(AN287=21,L287,0)</f>
        <v>0</v>
      </c>
      <c r="AN287" s="35">
        <v>21</v>
      </c>
      <c r="AO287" s="35">
        <f>H287*0</f>
        <v>0</v>
      </c>
      <c r="AP287" s="35">
        <f>H287*(1-0)</f>
        <v>0</v>
      </c>
      <c r="AQ287" s="36" t="s">
        <v>71</v>
      </c>
      <c r="AV287" s="35">
        <f>AW287+AX287</f>
        <v>0</v>
      </c>
      <c r="AW287" s="35">
        <f>G287*AO287</f>
        <v>0</v>
      </c>
      <c r="AX287" s="35">
        <f>G287*AP287</f>
        <v>0</v>
      </c>
      <c r="AY287" s="36" t="s">
        <v>511</v>
      </c>
      <c r="AZ287" s="36" t="s">
        <v>454</v>
      </c>
      <c r="BA287" s="12" t="s">
        <v>442</v>
      </c>
      <c r="BC287" s="35">
        <f>AW287+AX287</f>
        <v>0</v>
      </c>
      <c r="BD287" s="35">
        <f>H287/(100-BE287)*100</f>
        <v>0</v>
      </c>
      <c r="BE287" s="35">
        <v>0</v>
      </c>
      <c r="BF287" s="35">
        <f>O287</f>
        <v>0</v>
      </c>
      <c r="BH287" s="35">
        <f>G287*AO287</f>
        <v>0</v>
      </c>
      <c r="BI287" s="35">
        <f>G287*AP287</f>
        <v>0</v>
      </c>
      <c r="BJ287" s="35">
        <f>G287*H287</f>
        <v>0</v>
      </c>
      <c r="BK287" s="35"/>
      <c r="BL287" s="35"/>
      <c r="BW287" s="35" t="str">
        <f>I287</f>
        <v>21</v>
      </c>
      <c r="BX287" s="4" t="s">
        <v>539</v>
      </c>
    </row>
    <row r="288" spans="1:76" ht="13.5" customHeight="1" x14ac:dyDescent="0.4">
      <c r="A288" s="38"/>
      <c r="C288" s="43" t="s">
        <v>82</v>
      </c>
      <c r="D288" s="94" t="s">
        <v>540</v>
      </c>
      <c r="E288" s="95"/>
      <c r="F288" s="95"/>
      <c r="G288" s="95"/>
      <c r="H288" s="95"/>
      <c r="I288" s="95"/>
      <c r="J288" s="95"/>
      <c r="K288" s="95"/>
      <c r="L288" s="95"/>
      <c r="M288" s="95"/>
      <c r="N288" s="95"/>
      <c r="O288" s="95"/>
      <c r="P288" s="96"/>
    </row>
    <row r="289" spans="1:76" ht="14.6" x14ac:dyDescent="0.4">
      <c r="A289" s="2" t="s">
        <v>541</v>
      </c>
      <c r="B289" s="3" t="s">
        <v>438</v>
      </c>
      <c r="C289" s="3" t="s">
        <v>542</v>
      </c>
      <c r="D289" s="84" t="s">
        <v>543</v>
      </c>
      <c r="E289" s="85"/>
      <c r="F289" s="3" t="s">
        <v>98</v>
      </c>
      <c r="G289" s="35">
        <v>40</v>
      </c>
      <c r="H289" s="82"/>
      <c r="I289" s="36" t="s">
        <v>65</v>
      </c>
      <c r="J289" s="35">
        <f>G289*AO289</f>
        <v>0</v>
      </c>
      <c r="K289" s="35">
        <f>G289*AP289</f>
        <v>0</v>
      </c>
      <c r="L289" s="35">
        <f>G289*H289</f>
        <v>0</v>
      </c>
      <c r="M289" s="35">
        <f>L289*(1+BW289/100)</f>
        <v>0</v>
      </c>
      <c r="N289" s="35">
        <v>0.11025</v>
      </c>
      <c r="O289" s="35">
        <f>G289*N289</f>
        <v>4.41</v>
      </c>
      <c r="P289" s="37" t="s">
        <v>66</v>
      </c>
      <c r="Z289" s="35">
        <f>IF(AQ289="5",BJ289,0)</f>
        <v>0</v>
      </c>
      <c r="AB289" s="35">
        <f>IF(AQ289="1",BH289,0)</f>
        <v>0</v>
      </c>
      <c r="AC289" s="35">
        <f>IF(AQ289="1",BI289,0)</f>
        <v>0</v>
      </c>
      <c r="AD289" s="35">
        <f>IF(AQ289="7",BH289,0)</f>
        <v>0</v>
      </c>
      <c r="AE289" s="35">
        <f>IF(AQ289="7",BI289,0)</f>
        <v>0</v>
      </c>
      <c r="AF289" s="35">
        <f>IF(AQ289="2",BH289,0)</f>
        <v>0</v>
      </c>
      <c r="AG289" s="35">
        <f>IF(AQ289="2",BI289,0)</f>
        <v>0</v>
      </c>
      <c r="AH289" s="35">
        <f>IF(AQ289="0",BJ289,0)</f>
        <v>0</v>
      </c>
      <c r="AI289" s="12" t="s">
        <v>438</v>
      </c>
      <c r="AJ289" s="35">
        <f>IF(AN289=0,L289,0)</f>
        <v>0</v>
      </c>
      <c r="AK289" s="35">
        <f>IF(AN289=12,L289,0)</f>
        <v>0</v>
      </c>
      <c r="AL289" s="35">
        <f>IF(AN289=21,L289,0)</f>
        <v>0</v>
      </c>
      <c r="AN289" s="35">
        <v>21</v>
      </c>
      <c r="AO289" s="35">
        <f>H289*0.588471643</f>
        <v>0</v>
      </c>
      <c r="AP289" s="35">
        <f>H289*(1-0.588471643)</f>
        <v>0</v>
      </c>
      <c r="AQ289" s="36" t="s">
        <v>71</v>
      </c>
      <c r="AV289" s="35">
        <f>AW289+AX289</f>
        <v>0</v>
      </c>
      <c r="AW289" s="35">
        <f>G289*AO289</f>
        <v>0</v>
      </c>
      <c r="AX289" s="35">
        <f>G289*AP289</f>
        <v>0</v>
      </c>
      <c r="AY289" s="36" t="s">
        <v>511</v>
      </c>
      <c r="AZ289" s="36" t="s">
        <v>454</v>
      </c>
      <c r="BA289" s="12" t="s">
        <v>442</v>
      </c>
      <c r="BC289" s="35">
        <f>AW289+AX289</f>
        <v>0</v>
      </c>
      <c r="BD289" s="35">
        <f>H289/(100-BE289)*100</f>
        <v>0</v>
      </c>
      <c r="BE289" s="35">
        <v>0</v>
      </c>
      <c r="BF289" s="35">
        <f>O289</f>
        <v>4.41</v>
      </c>
      <c r="BH289" s="35">
        <f>G289*AO289</f>
        <v>0</v>
      </c>
      <c r="BI289" s="35">
        <f>G289*AP289</f>
        <v>0</v>
      </c>
      <c r="BJ289" s="35">
        <f>G289*H289</f>
        <v>0</v>
      </c>
      <c r="BK289" s="35"/>
      <c r="BL289" s="35"/>
      <c r="BW289" s="35" t="str">
        <f>I289</f>
        <v>21</v>
      </c>
      <c r="BX289" s="4" t="s">
        <v>543</v>
      </c>
    </row>
    <row r="290" spans="1:76" ht="13.5" customHeight="1" x14ac:dyDescent="0.4">
      <c r="A290" s="38"/>
      <c r="C290" s="43" t="s">
        <v>82</v>
      </c>
      <c r="D290" s="94" t="s">
        <v>544</v>
      </c>
      <c r="E290" s="95"/>
      <c r="F290" s="95"/>
      <c r="G290" s="95"/>
      <c r="H290" s="95"/>
      <c r="I290" s="95"/>
      <c r="J290" s="95"/>
      <c r="K290" s="95"/>
      <c r="L290" s="95"/>
      <c r="M290" s="95"/>
      <c r="N290" s="95"/>
      <c r="O290" s="95"/>
      <c r="P290" s="96"/>
    </row>
    <row r="291" spans="1:76" ht="14.6" x14ac:dyDescent="0.4">
      <c r="A291" s="2" t="s">
        <v>545</v>
      </c>
      <c r="B291" s="3" t="s">
        <v>438</v>
      </c>
      <c r="C291" s="3" t="s">
        <v>546</v>
      </c>
      <c r="D291" s="84" t="s">
        <v>547</v>
      </c>
      <c r="E291" s="85"/>
      <c r="F291" s="3" t="s">
        <v>98</v>
      </c>
      <c r="G291" s="35">
        <v>150</v>
      </c>
      <c r="H291" s="82"/>
      <c r="I291" s="36" t="s">
        <v>65</v>
      </c>
      <c r="J291" s="35">
        <f>G291*AO291</f>
        <v>0</v>
      </c>
      <c r="K291" s="35">
        <f>G291*AP291</f>
        <v>0</v>
      </c>
      <c r="L291" s="35">
        <f>G291*H291</f>
        <v>0</v>
      </c>
      <c r="M291" s="35">
        <f>L291*(1+BW291/100)</f>
        <v>0</v>
      </c>
      <c r="N291" s="35">
        <v>0.20474999999999999</v>
      </c>
      <c r="O291" s="35">
        <f>G291*N291</f>
        <v>30.712499999999999</v>
      </c>
      <c r="P291" s="37" t="s">
        <v>66</v>
      </c>
      <c r="Z291" s="35">
        <f>IF(AQ291="5",BJ291,0)</f>
        <v>0</v>
      </c>
      <c r="AB291" s="35">
        <f>IF(AQ291="1",BH291,0)</f>
        <v>0</v>
      </c>
      <c r="AC291" s="35">
        <f>IF(AQ291="1",BI291,0)</f>
        <v>0</v>
      </c>
      <c r="AD291" s="35">
        <f>IF(AQ291="7",BH291,0)</f>
        <v>0</v>
      </c>
      <c r="AE291" s="35">
        <f>IF(AQ291="7",BI291,0)</f>
        <v>0</v>
      </c>
      <c r="AF291" s="35">
        <f>IF(AQ291="2",BH291,0)</f>
        <v>0</v>
      </c>
      <c r="AG291" s="35">
        <f>IF(AQ291="2",BI291,0)</f>
        <v>0</v>
      </c>
      <c r="AH291" s="35">
        <f>IF(AQ291="0",BJ291,0)</f>
        <v>0</v>
      </c>
      <c r="AI291" s="12" t="s">
        <v>438</v>
      </c>
      <c r="AJ291" s="35">
        <f>IF(AN291=0,L291,0)</f>
        <v>0</v>
      </c>
      <c r="AK291" s="35">
        <f>IF(AN291=12,L291,0)</f>
        <v>0</v>
      </c>
      <c r="AL291" s="35">
        <f>IF(AN291=21,L291,0)</f>
        <v>0</v>
      </c>
      <c r="AN291" s="35">
        <v>21</v>
      </c>
      <c r="AO291" s="35">
        <f>H291*0.590124481</f>
        <v>0</v>
      </c>
      <c r="AP291" s="35">
        <f>H291*(1-0.590124481)</f>
        <v>0</v>
      </c>
      <c r="AQ291" s="36" t="s">
        <v>71</v>
      </c>
      <c r="AV291" s="35">
        <f>AW291+AX291</f>
        <v>0</v>
      </c>
      <c r="AW291" s="35">
        <f>G291*AO291</f>
        <v>0</v>
      </c>
      <c r="AX291" s="35">
        <f>G291*AP291</f>
        <v>0</v>
      </c>
      <c r="AY291" s="36" t="s">
        <v>511</v>
      </c>
      <c r="AZ291" s="36" t="s">
        <v>454</v>
      </c>
      <c r="BA291" s="12" t="s">
        <v>442</v>
      </c>
      <c r="BC291" s="35">
        <f>AW291+AX291</f>
        <v>0</v>
      </c>
      <c r="BD291" s="35">
        <f>H291/(100-BE291)*100</f>
        <v>0</v>
      </c>
      <c r="BE291" s="35">
        <v>0</v>
      </c>
      <c r="BF291" s="35">
        <f>O291</f>
        <v>30.712499999999999</v>
      </c>
      <c r="BH291" s="35">
        <f>G291*AO291</f>
        <v>0</v>
      </c>
      <c r="BI291" s="35">
        <f>G291*AP291</f>
        <v>0</v>
      </c>
      <c r="BJ291" s="35">
        <f>G291*H291</f>
        <v>0</v>
      </c>
      <c r="BK291" s="35"/>
      <c r="BL291" s="35"/>
      <c r="BW291" s="35" t="str">
        <f>I291</f>
        <v>21</v>
      </c>
      <c r="BX291" s="4" t="s">
        <v>547</v>
      </c>
    </row>
    <row r="292" spans="1:76" ht="13.5" customHeight="1" x14ac:dyDescent="0.4">
      <c r="A292" s="38"/>
      <c r="C292" s="43" t="s">
        <v>82</v>
      </c>
      <c r="D292" s="94" t="s">
        <v>548</v>
      </c>
      <c r="E292" s="95"/>
      <c r="F292" s="95"/>
      <c r="G292" s="95"/>
      <c r="H292" s="95"/>
      <c r="I292" s="95"/>
      <c r="J292" s="95"/>
      <c r="K292" s="95"/>
      <c r="L292" s="95"/>
      <c r="M292" s="95"/>
      <c r="N292" s="95"/>
      <c r="O292" s="95"/>
      <c r="P292" s="96"/>
    </row>
    <row r="293" spans="1:76" ht="14.6" x14ac:dyDescent="0.4">
      <c r="A293" s="2" t="s">
        <v>549</v>
      </c>
      <c r="B293" s="3" t="s">
        <v>438</v>
      </c>
      <c r="C293" s="3" t="s">
        <v>550</v>
      </c>
      <c r="D293" s="84" t="s">
        <v>551</v>
      </c>
      <c r="E293" s="85"/>
      <c r="F293" s="3" t="s">
        <v>98</v>
      </c>
      <c r="G293" s="35">
        <v>190</v>
      </c>
      <c r="H293" s="82"/>
      <c r="I293" s="36" t="s">
        <v>65</v>
      </c>
      <c r="J293" s="35">
        <f>G293*AO293</f>
        <v>0</v>
      </c>
      <c r="K293" s="35">
        <f>G293*AP293</f>
        <v>0</v>
      </c>
      <c r="L293" s="35">
        <f>G293*H293</f>
        <v>0</v>
      </c>
      <c r="M293" s="35">
        <f>L293*(1+BW293/100)</f>
        <v>0</v>
      </c>
      <c r="N293" s="35">
        <v>6.0000000000000002E-5</v>
      </c>
      <c r="O293" s="35">
        <f>G293*N293</f>
        <v>1.14E-2</v>
      </c>
      <c r="P293" s="37" t="s">
        <v>66</v>
      </c>
      <c r="Z293" s="35">
        <f>IF(AQ293="5",BJ293,0)</f>
        <v>0</v>
      </c>
      <c r="AB293" s="35">
        <f>IF(AQ293="1",BH293,0)</f>
        <v>0</v>
      </c>
      <c r="AC293" s="35">
        <f>IF(AQ293="1",BI293,0)</f>
        <v>0</v>
      </c>
      <c r="AD293" s="35">
        <f>IF(AQ293="7",BH293,0)</f>
        <v>0</v>
      </c>
      <c r="AE293" s="35">
        <f>IF(AQ293="7",BI293,0)</f>
        <v>0</v>
      </c>
      <c r="AF293" s="35">
        <f>IF(AQ293="2",BH293,0)</f>
        <v>0</v>
      </c>
      <c r="AG293" s="35">
        <f>IF(AQ293="2",BI293,0)</f>
        <v>0</v>
      </c>
      <c r="AH293" s="35">
        <f>IF(AQ293="0",BJ293,0)</f>
        <v>0</v>
      </c>
      <c r="AI293" s="12" t="s">
        <v>438</v>
      </c>
      <c r="AJ293" s="35">
        <f>IF(AN293=0,L293,0)</f>
        <v>0</v>
      </c>
      <c r="AK293" s="35">
        <f>IF(AN293=12,L293,0)</f>
        <v>0</v>
      </c>
      <c r="AL293" s="35">
        <f>IF(AN293=21,L293,0)</f>
        <v>0</v>
      </c>
      <c r="AN293" s="35">
        <v>21</v>
      </c>
      <c r="AO293" s="35">
        <f>H293*0.419911504</f>
        <v>0</v>
      </c>
      <c r="AP293" s="35">
        <f>H293*(1-0.419911504)</f>
        <v>0</v>
      </c>
      <c r="AQ293" s="36" t="s">
        <v>71</v>
      </c>
      <c r="AV293" s="35">
        <f>AW293+AX293</f>
        <v>0</v>
      </c>
      <c r="AW293" s="35">
        <f>G293*AO293</f>
        <v>0</v>
      </c>
      <c r="AX293" s="35">
        <f>G293*AP293</f>
        <v>0</v>
      </c>
      <c r="AY293" s="36" t="s">
        <v>511</v>
      </c>
      <c r="AZ293" s="36" t="s">
        <v>454</v>
      </c>
      <c r="BA293" s="12" t="s">
        <v>442</v>
      </c>
      <c r="BC293" s="35">
        <f>AW293+AX293</f>
        <v>0</v>
      </c>
      <c r="BD293" s="35">
        <f>H293/(100-BE293)*100</f>
        <v>0</v>
      </c>
      <c r="BE293" s="35">
        <v>0</v>
      </c>
      <c r="BF293" s="35">
        <f>O293</f>
        <v>1.14E-2</v>
      </c>
      <c r="BH293" s="35">
        <f>G293*AO293</f>
        <v>0</v>
      </c>
      <c r="BI293" s="35">
        <f>G293*AP293</f>
        <v>0</v>
      </c>
      <c r="BJ293" s="35">
        <f>G293*H293</f>
        <v>0</v>
      </c>
      <c r="BK293" s="35"/>
      <c r="BL293" s="35"/>
      <c r="BW293" s="35" t="str">
        <f>I293</f>
        <v>21</v>
      </c>
      <c r="BX293" s="4" t="s">
        <v>551</v>
      </c>
    </row>
    <row r="294" spans="1:76" ht="14.6" x14ac:dyDescent="0.4">
      <c r="A294" s="2" t="s">
        <v>552</v>
      </c>
      <c r="B294" s="3" t="s">
        <v>438</v>
      </c>
      <c r="C294" s="3" t="s">
        <v>553</v>
      </c>
      <c r="D294" s="84" t="s">
        <v>554</v>
      </c>
      <c r="E294" s="85"/>
      <c r="F294" s="3" t="s">
        <v>98</v>
      </c>
      <c r="G294" s="35">
        <v>190</v>
      </c>
      <c r="H294" s="82"/>
      <c r="I294" s="36" t="s">
        <v>65</v>
      </c>
      <c r="J294" s="35">
        <f>G294*AO294</f>
        <v>0</v>
      </c>
      <c r="K294" s="35">
        <f>G294*AP294</f>
        <v>0</v>
      </c>
      <c r="L294" s="35">
        <f>G294*H294</f>
        <v>0</v>
      </c>
      <c r="M294" s="35">
        <f>L294*(1+BW294/100)</f>
        <v>0</v>
      </c>
      <c r="N294" s="35">
        <v>0</v>
      </c>
      <c r="O294" s="35">
        <f>G294*N294</f>
        <v>0</v>
      </c>
      <c r="P294" s="37" t="s">
        <v>66</v>
      </c>
      <c r="Z294" s="35">
        <f>IF(AQ294="5",BJ294,0)</f>
        <v>0</v>
      </c>
      <c r="AB294" s="35">
        <f>IF(AQ294="1",BH294,0)</f>
        <v>0</v>
      </c>
      <c r="AC294" s="35">
        <f>IF(AQ294="1",BI294,0)</f>
        <v>0</v>
      </c>
      <c r="AD294" s="35">
        <f>IF(AQ294="7",BH294,0)</f>
        <v>0</v>
      </c>
      <c r="AE294" s="35">
        <f>IF(AQ294="7",BI294,0)</f>
        <v>0</v>
      </c>
      <c r="AF294" s="35">
        <f>IF(AQ294="2",BH294,0)</f>
        <v>0</v>
      </c>
      <c r="AG294" s="35">
        <f>IF(AQ294="2",BI294,0)</f>
        <v>0</v>
      </c>
      <c r="AH294" s="35">
        <f>IF(AQ294="0",BJ294,0)</f>
        <v>0</v>
      </c>
      <c r="AI294" s="12" t="s">
        <v>438</v>
      </c>
      <c r="AJ294" s="35">
        <f>IF(AN294=0,L294,0)</f>
        <v>0</v>
      </c>
      <c r="AK294" s="35">
        <f>IF(AN294=12,L294,0)</f>
        <v>0</v>
      </c>
      <c r="AL294" s="35">
        <f>IF(AN294=21,L294,0)</f>
        <v>0</v>
      </c>
      <c r="AN294" s="35">
        <v>21</v>
      </c>
      <c r="AO294" s="35">
        <f>H294*0</f>
        <v>0</v>
      </c>
      <c r="AP294" s="35">
        <f>H294*(1-0)</f>
        <v>0</v>
      </c>
      <c r="AQ294" s="36" t="s">
        <v>71</v>
      </c>
      <c r="AV294" s="35">
        <f>AW294+AX294</f>
        <v>0</v>
      </c>
      <c r="AW294" s="35">
        <f>G294*AO294</f>
        <v>0</v>
      </c>
      <c r="AX294" s="35">
        <f>G294*AP294</f>
        <v>0</v>
      </c>
      <c r="AY294" s="36" t="s">
        <v>511</v>
      </c>
      <c r="AZ294" s="36" t="s">
        <v>454</v>
      </c>
      <c r="BA294" s="12" t="s">
        <v>442</v>
      </c>
      <c r="BC294" s="35">
        <f>AW294+AX294</f>
        <v>0</v>
      </c>
      <c r="BD294" s="35">
        <f>H294/(100-BE294)*100</f>
        <v>0</v>
      </c>
      <c r="BE294" s="35">
        <v>0</v>
      </c>
      <c r="BF294" s="35">
        <f>O294</f>
        <v>0</v>
      </c>
      <c r="BH294" s="35">
        <f>G294*AO294</f>
        <v>0</v>
      </c>
      <c r="BI294" s="35">
        <f>G294*AP294</f>
        <v>0</v>
      </c>
      <c r="BJ294" s="35">
        <f>G294*H294</f>
        <v>0</v>
      </c>
      <c r="BK294" s="35"/>
      <c r="BL294" s="35"/>
      <c r="BW294" s="35" t="str">
        <f>I294</f>
        <v>21</v>
      </c>
      <c r="BX294" s="4" t="s">
        <v>554</v>
      </c>
    </row>
    <row r="295" spans="1:76" ht="13.5" customHeight="1" x14ac:dyDescent="0.4">
      <c r="A295" s="38"/>
      <c r="C295" s="43" t="s">
        <v>82</v>
      </c>
      <c r="D295" s="94" t="s">
        <v>555</v>
      </c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6"/>
    </row>
    <row r="296" spans="1:76" ht="14.6" x14ac:dyDescent="0.4">
      <c r="A296" s="2" t="s">
        <v>556</v>
      </c>
      <c r="B296" s="3" t="s">
        <v>438</v>
      </c>
      <c r="C296" s="3" t="s">
        <v>557</v>
      </c>
      <c r="D296" s="84" t="s">
        <v>558</v>
      </c>
      <c r="E296" s="85"/>
      <c r="F296" s="3" t="s">
        <v>98</v>
      </c>
      <c r="G296" s="35">
        <v>40</v>
      </c>
      <c r="H296" s="82"/>
      <c r="I296" s="36" t="s">
        <v>65</v>
      </c>
      <c r="J296" s="35">
        <f>G296*AO296</f>
        <v>0</v>
      </c>
      <c r="K296" s="35">
        <f>G296*AP296</f>
        <v>0</v>
      </c>
      <c r="L296" s="35">
        <f>G296*H296</f>
        <v>0</v>
      </c>
      <c r="M296" s="35">
        <f>L296*(1+BW296/100)</f>
        <v>0</v>
      </c>
      <c r="N296" s="35">
        <v>0</v>
      </c>
      <c r="O296" s="35">
        <f>G296*N296</f>
        <v>0</v>
      </c>
      <c r="P296" s="37" t="s">
        <v>66</v>
      </c>
      <c r="Z296" s="35">
        <f>IF(AQ296="5",BJ296,0)</f>
        <v>0</v>
      </c>
      <c r="AB296" s="35">
        <f>IF(AQ296="1",BH296,0)</f>
        <v>0</v>
      </c>
      <c r="AC296" s="35">
        <f>IF(AQ296="1",BI296,0)</f>
        <v>0</v>
      </c>
      <c r="AD296" s="35">
        <f>IF(AQ296="7",BH296,0)</f>
        <v>0</v>
      </c>
      <c r="AE296" s="35">
        <f>IF(AQ296="7",BI296,0)</f>
        <v>0</v>
      </c>
      <c r="AF296" s="35">
        <f>IF(AQ296="2",BH296,0)</f>
        <v>0</v>
      </c>
      <c r="AG296" s="35">
        <f>IF(AQ296="2",BI296,0)</f>
        <v>0</v>
      </c>
      <c r="AH296" s="35">
        <f>IF(AQ296="0",BJ296,0)</f>
        <v>0</v>
      </c>
      <c r="AI296" s="12" t="s">
        <v>438</v>
      </c>
      <c r="AJ296" s="35">
        <f>IF(AN296=0,L296,0)</f>
        <v>0</v>
      </c>
      <c r="AK296" s="35">
        <f>IF(AN296=12,L296,0)</f>
        <v>0</v>
      </c>
      <c r="AL296" s="35">
        <f>IF(AN296=21,L296,0)</f>
        <v>0</v>
      </c>
      <c r="AN296" s="35">
        <v>21</v>
      </c>
      <c r="AO296" s="35">
        <f>H296*0</f>
        <v>0</v>
      </c>
      <c r="AP296" s="35">
        <f>H296*(1-0)</f>
        <v>0</v>
      </c>
      <c r="AQ296" s="36" t="s">
        <v>71</v>
      </c>
      <c r="AV296" s="35">
        <f>AW296+AX296</f>
        <v>0</v>
      </c>
      <c r="AW296" s="35">
        <f>G296*AO296</f>
        <v>0</v>
      </c>
      <c r="AX296" s="35">
        <f>G296*AP296</f>
        <v>0</v>
      </c>
      <c r="AY296" s="36" t="s">
        <v>511</v>
      </c>
      <c r="AZ296" s="36" t="s">
        <v>454</v>
      </c>
      <c r="BA296" s="12" t="s">
        <v>442</v>
      </c>
      <c r="BC296" s="35">
        <f>AW296+AX296</f>
        <v>0</v>
      </c>
      <c r="BD296" s="35">
        <f>H296/(100-BE296)*100</f>
        <v>0</v>
      </c>
      <c r="BE296" s="35">
        <v>0</v>
      </c>
      <c r="BF296" s="35">
        <f>O296</f>
        <v>0</v>
      </c>
      <c r="BH296" s="35">
        <f>G296*AO296</f>
        <v>0</v>
      </c>
      <c r="BI296" s="35">
        <f>G296*AP296</f>
        <v>0</v>
      </c>
      <c r="BJ296" s="35">
        <f>G296*H296</f>
        <v>0</v>
      </c>
      <c r="BK296" s="35"/>
      <c r="BL296" s="35"/>
      <c r="BW296" s="35" t="str">
        <f>I296</f>
        <v>21</v>
      </c>
      <c r="BX296" s="4" t="s">
        <v>558</v>
      </c>
    </row>
    <row r="297" spans="1:76" ht="13.5" customHeight="1" x14ac:dyDescent="0.4">
      <c r="A297" s="38"/>
      <c r="C297" s="43" t="s">
        <v>82</v>
      </c>
      <c r="D297" s="94" t="s">
        <v>559</v>
      </c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6"/>
    </row>
    <row r="298" spans="1:76" ht="14.6" x14ac:dyDescent="0.4">
      <c r="A298" s="2" t="s">
        <v>560</v>
      </c>
      <c r="B298" s="3" t="s">
        <v>438</v>
      </c>
      <c r="C298" s="3" t="s">
        <v>561</v>
      </c>
      <c r="D298" s="84" t="s">
        <v>562</v>
      </c>
      <c r="E298" s="85"/>
      <c r="F298" s="3" t="s">
        <v>98</v>
      </c>
      <c r="G298" s="35">
        <v>150</v>
      </c>
      <c r="H298" s="82"/>
      <c r="I298" s="36" t="s">
        <v>65</v>
      </c>
      <c r="J298" s="35">
        <f>G298*AO298</f>
        <v>0</v>
      </c>
      <c r="K298" s="35">
        <f>G298*AP298</f>
        <v>0</v>
      </c>
      <c r="L298" s="35">
        <f>G298*H298</f>
        <v>0</v>
      </c>
      <c r="M298" s="35">
        <f>L298*(1+BW298/100)</f>
        <v>0</v>
      </c>
      <c r="N298" s="35">
        <v>0</v>
      </c>
      <c r="O298" s="35">
        <f>G298*N298</f>
        <v>0</v>
      </c>
      <c r="P298" s="37" t="s">
        <v>66</v>
      </c>
      <c r="Z298" s="35">
        <f>IF(AQ298="5",BJ298,0)</f>
        <v>0</v>
      </c>
      <c r="AB298" s="35">
        <f>IF(AQ298="1",BH298,0)</f>
        <v>0</v>
      </c>
      <c r="AC298" s="35">
        <f>IF(AQ298="1",BI298,0)</f>
        <v>0</v>
      </c>
      <c r="AD298" s="35">
        <f>IF(AQ298="7",BH298,0)</f>
        <v>0</v>
      </c>
      <c r="AE298" s="35">
        <f>IF(AQ298="7",BI298,0)</f>
        <v>0</v>
      </c>
      <c r="AF298" s="35">
        <f>IF(AQ298="2",BH298,0)</f>
        <v>0</v>
      </c>
      <c r="AG298" s="35">
        <f>IF(AQ298="2",BI298,0)</f>
        <v>0</v>
      </c>
      <c r="AH298" s="35">
        <f>IF(AQ298="0",BJ298,0)</f>
        <v>0</v>
      </c>
      <c r="AI298" s="12" t="s">
        <v>438</v>
      </c>
      <c r="AJ298" s="35">
        <f>IF(AN298=0,L298,0)</f>
        <v>0</v>
      </c>
      <c r="AK298" s="35">
        <f>IF(AN298=12,L298,0)</f>
        <v>0</v>
      </c>
      <c r="AL298" s="35">
        <f>IF(AN298=21,L298,0)</f>
        <v>0</v>
      </c>
      <c r="AN298" s="35">
        <v>21</v>
      </c>
      <c r="AO298" s="35">
        <f>H298*0</f>
        <v>0</v>
      </c>
      <c r="AP298" s="35">
        <f>H298*(1-0)</f>
        <v>0</v>
      </c>
      <c r="AQ298" s="36" t="s">
        <v>71</v>
      </c>
      <c r="AV298" s="35">
        <f>AW298+AX298</f>
        <v>0</v>
      </c>
      <c r="AW298" s="35">
        <f>G298*AO298</f>
        <v>0</v>
      </c>
      <c r="AX298" s="35">
        <f>G298*AP298</f>
        <v>0</v>
      </c>
      <c r="AY298" s="36" t="s">
        <v>511</v>
      </c>
      <c r="AZ298" s="36" t="s">
        <v>454</v>
      </c>
      <c r="BA298" s="12" t="s">
        <v>442</v>
      </c>
      <c r="BC298" s="35">
        <f>AW298+AX298</f>
        <v>0</v>
      </c>
      <c r="BD298" s="35">
        <f>H298/(100-BE298)*100</f>
        <v>0</v>
      </c>
      <c r="BE298" s="35">
        <v>0</v>
      </c>
      <c r="BF298" s="35">
        <f>O298</f>
        <v>0</v>
      </c>
      <c r="BH298" s="35">
        <f>G298*AO298</f>
        <v>0</v>
      </c>
      <c r="BI298" s="35">
        <f>G298*AP298</f>
        <v>0</v>
      </c>
      <c r="BJ298" s="35">
        <f>G298*H298</f>
        <v>0</v>
      </c>
      <c r="BK298" s="35"/>
      <c r="BL298" s="35"/>
      <c r="BW298" s="35" t="str">
        <f>I298</f>
        <v>21</v>
      </c>
      <c r="BX298" s="4" t="s">
        <v>562</v>
      </c>
    </row>
    <row r="299" spans="1:76" ht="14.6" x14ac:dyDescent="0.4">
      <c r="A299" s="2" t="s">
        <v>563</v>
      </c>
      <c r="B299" s="3" t="s">
        <v>438</v>
      </c>
      <c r="C299" s="3" t="s">
        <v>564</v>
      </c>
      <c r="D299" s="84" t="s">
        <v>565</v>
      </c>
      <c r="E299" s="85"/>
      <c r="F299" s="3" t="s">
        <v>109</v>
      </c>
      <c r="G299" s="35">
        <v>15.85</v>
      </c>
      <c r="H299" s="82"/>
      <c r="I299" s="36" t="s">
        <v>65</v>
      </c>
      <c r="J299" s="35">
        <f>G299*AO299</f>
        <v>0</v>
      </c>
      <c r="K299" s="35">
        <f>G299*AP299</f>
        <v>0</v>
      </c>
      <c r="L299" s="35">
        <f>G299*H299</f>
        <v>0</v>
      </c>
      <c r="M299" s="35">
        <f>L299*(1+BW299/100)</f>
        <v>0</v>
      </c>
      <c r="N299" s="35">
        <v>0</v>
      </c>
      <c r="O299" s="35">
        <f>G299*N299</f>
        <v>0</v>
      </c>
      <c r="P299" s="37" t="s">
        <v>66</v>
      </c>
      <c r="Z299" s="35">
        <f>IF(AQ299="5",BJ299,0)</f>
        <v>0</v>
      </c>
      <c r="AB299" s="35">
        <f>IF(AQ299="1",BH299,0)</f>
        <v>0</v>
      </c>
      <c r="AC299" s="35">
        <f>IF(AQ299="1",BI299,0)</f>
        <v>0</v>
      </c>
      <c r="AD299" s="35">
        <f>IF(AQ299="7",BH299,0)</f>
        <v>0</v>
      </c>
      <c r="AE299" s="35">
        <f>IF(AQ299="7",BI299,0)</f>
        <v>0</v>
      </c>
      <c r="AF299" s="35">
        <f>IF(AQ299="2",BH299,0)</f>
        <v>0</v>
      </c>
      <c r="AG299" s="35">
        <f>IF(AQ299="2",BI299,0)</f>
        <v>0</v>
      </c>
      <c r="AH299" s="35">
        <f>IF(AQ299="0",BJ299,0)</f>
        <v>0</v>
      </c>
      <c r="AI299" s="12" t="s">
        <v>438</v>
      </c>
      <c r="AJ299" s="35">
        <f>IF(AN299=0,L299,0)</f>
        <v>0</v>
      </c>
      <c r="AK299" s="35">
        <f>IF(AN299=12,L299,0)</f>
        <v>0</v>
      </c>
      <c r="AL299" s="35">
        <f>IF(AN299=21,L299,0)</f>
        <v>0</v>
      </c>
      <c r="AN299" s="35">
        <v>21</v>
      </c>
      <c r="AO299" s="35">
        <f>H299*0</f>
        <v>0</v>
      </c>
      <c r="AP299" s="35">
        <f>H299*(1-0)</f>
        <v>0</v>
      </c>
      <c r="AQ299" s="36" t="s">
        <v>71</v>
      </c>
      <c r="AV299" s="35">
        <f>AW299+AX299</f>
        <v>0</v>
      </c>
      <c r="AW299" s="35">
        <f>G299*AO299</f>
        <v>0</v>
      </c>
      <c r="AX299" s="35">
        <f>G299*AP299</f>
        <v>0</v>
      </c>
      <c r="AY299" s="36" t="s">
        <v>511</v>
      </c>
      <c r="AZ299" s="36" t="s">
        <v>454</v>
      </c>
      <c r="BA299" s="12" t="s">
        <v>442</v>
      </c>
      <c r="BC299" s="35">
        <f>AW299+AX299</f>
        <v>0</v>
      </c>
      <c r="BD299" s="35">
        <f>H299/(100-BE299)*100</f>
        <v>0</v>
      </c>
      <c r="BE299" s="35">
        <v>0</v>
      </c>
      <c r="BF299" s="35">
        <f>O299</f>
        <v>0</v>
      </c>
      <c r="BH299" s="35">
        <f>G299*AO299</f>
        <v>0</v>
      </c>
      <c r="BI299" s="35">
        <f>G299*AP299</f>
        <v>0</v>
      </c>
      <c r="BJ299" s="35">
        <f>G299*H299</f>
        <v>0</v>
      </c>
      <c r="BK299" s="35"/>
      <c r="BL299" s="35"/>
      <c r="BW299" s="35" t="str">
        <f>I299</f>
        <v>21</v>
      </c>
      <c r="BX299" s="4" t="s">
        <v>565</v>
      </c>
    </row>
    <row r="300" spans="1:76" ht="13.5" customHeight="1" x14ac:dyDescent="0.4">
      <c r="A300" s="38"/>
      <c r="C300" s="43" t="s">
        <v>82</v>
      </c>
      <c r="D300" s="94" t="s">
        <v>566</v>
      </c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6"/>
    </row>
    <row r="301" spans="1:76" ht="14.6" x14ac:dyDescent="0.4">
      <c r="A301" s="38"/>
      <c r="D301" s="39" t="s">
        <v>567</v>
      </c>
      <c r="E301" s="40" t="s">
        <v>56</v>
      </c>
      <c r="G301" s="41">
        <v>15.85</v>
      </c>
      <c r="P301" s="42"/>
    </row>
    <row r="302" spans="1:76" ht="14.6" x14ac:dyDescent="0.4">
      <c r="A302" s="2" t="s">
        <v>568</v>
      </c>
      <c r="B302" s="3" t="s">
        <v>438</v>
      </c>
      <c r="C302" s="3" t="s">
        <v>569</v>
      </c>
      <c r="D302" s="84" t="s">
        <v>570</v>
      </c>
      <c r="E302" s="85"/>
      <c r="F302" s="3" t="s">
        <v>64</v>
      </c>
      <c r="G302" s="35">
        <v>74</v>
      </c>
      <c r="H302" s="82"/>
      <c r="I302" s="36" t="s">
        <v>65</v>
      </c>
      <c r="J302" s="35">
        <f>G302*AO302</f>
        <v>0</v>
      </c>
      <c r="K302" s="35">
        <f>G302*AP302</f>
        <v>0</v>
      </c>
      <c r="L302" s="35">
        <f>G302*H302</f>
        <v>0</v>
      </c>
      <c r="M302" s="35">
        <f>L302*(1+BW302/100)</f>
        <v>0</v>
      </c>
      <c r="N302" s="35">
        <v>0</v>
      </c>
      <c r="O302" s="35">
        <f>G302*N302</f>
        <v>0</v>
      </c>
      <c r="P302" s="37" t="s">
        <v>66</v>
      </c>
      <c r="Z302" s="35">
        <f>IF(AQ302="5",BJ302,0)</f>
        <v>0</v>
      </c>
      <c r="AB302" s="35">
        <f>IF(AQ302="1",BH302,0)</f>
        <v>0</v>
      </c>
      <c r="AC302" s="35">
        <f>IF(AQ302="1",BI302,0)</f>
        <v>0</v>
      </c>
      <c r="AD302" s="35">
        <f>IF(AQ302="7",BH302,0)</f>
        <v>0</v>
      </c>
      <c r="AE302" s="35">
        <f>IF(AQ302="7",BI302,0)</f>
        <v>0</v>
      </c>
      <c r="AF302" s="35">
        <f>IF(AQ302="2",BH302,0)</f>
        <v>0</v>
      </c>
      <c r="AG302" s="35">
        <f>IF(AQ302="2",BI302,0)</f>
        <v>0</v>
      </c>
      <c r="AH302" s="35">
        <f>IF(AQ302="0",BJ302,0)</f>
        <v>0</v>
      </c>
      <c r="AI302" s="12" t="s">
        <v>438</v>
      </c>
      <c r="AJ302" s="35">
        <f>IF(AN302=0,L302,0)</f>
        <v>0</v>
      </c>
      <c r="AK302" s="35">
        <f>IF(AN302=12,L302,0)</f>
        <v>0</v>
      </c>
      <c r="AL302" s="35">
        <f>IF(AN302=21,L302,0)</f>
        <v>0</v>
      </c>
      <c r="AN302" s="35">
        <v>21</v>
      </c>
      <c r="AO302" s="35">
        <f>H302*0.018734535</f>
        <v>0</v>
      </c>
      <c r="AP302" s="35">
        <f>H302*(1-0.018734535)</f>
        <v>0</v>
      </c>
      <c r="AQ302" s="36" t="s">
        <v>71</v>
      </c>
      <c r="AV302" s="35">
        <f>AW302+AX302</f>
        <v>0</v>
      </c>
      <c r="AW302" s="35">
        <f>G302*AO302</f>
        <v>0</v>
      </c>
      <c r="AX302" s="35">
        <f>G302*AP302</f>
        <v>0</v>
      </c>
      <c r="AY302" s="36" t="s">
        <v>511</v>
      </c>
      <c r="AZ302" s="36" t="s">
        <v>454</v>
      </c>
      <c r="BA302" s="12" t="s">
        <v>442</v>
      </c>
      <c r="BC302" s="35">
        <f>AW302+AX302</f>
        <v>0</v>
      </c>
      <c r="BD302" s="35">
        <f>H302/(100-BE302)*100</f>
        <v>0</v>
      </c>
      <c r="BE302" s="35">
        <v>0</v>
      </c>
      <c r="BF302" s="35">
        <f>O302</f>
        <v>0</v>
      </c>
      <c r="BH302" s="35">
        <f>G302*AO302</f>
        <v>0</v>
      </c>
      <c r="BI302" s="35">
        <f>G302*AP302</f>
        <v>0</v>
      </c>
      <c r="BJ302" s="35">
        <f>G302*H302</f>
        <v>0</v>
      </c>
      <c r="BK302" s="35"/>
      <c r="BL302" s="35"/>
      <c r="BW302" s="35" t="str">
        <f>I302</f>
        <v>21</v>
      </c>
      <c r="BX302" s="4" t="s">
        <v>570</v>
      </c>
    </row>
    <row r="303" spans="1:76" ht="13.5" customHeight="1" x14ac:dyDescent="0.4">
      <c r="A303" s="38"/>
      <c r="C303" s="43" t="s">
        <v>82</v>
      </c>
      <c r="D303" s="94" t="s">
        <v>571</v>
      </c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6"/>
    </row>
    <row r="304" spans="1:76" ht="14.6" x14ac:dyDescent="0.4">
      <c r="A304" s="2" t="s">
        <v>572</v>
      </c>
      <c r="B304" s="3" t="s">
        <v>438</v>
      </c>
      <c r="C304" s="3" t="s">
        <v>573</v>
      </c>
      <c r="D304" s="84" t="s">
        <v>574</v>
      </c>
      <c r="E304" s="85"/>
      <c r="F304" s="3" t="s">
        <v>64</v>
      </c>
      <c r="G304" s="35">
        <v>72.5</v>
      </c>
      <c r="H304" s="82"/>
      <c r="I304" s="36" t="s">
        <v>65</v>
      </c>
      <c r="J304" s="35">
        <f>G304*AO304</f>
        <v>0</v>
      </c>
      <c r="K304" s="35">
        <f>G304*AP304</f>
        <v>0</v>
      </c>
      <c r="L304" s="35">
        <f>G304*H304</f>
        <v>0</v>
      </c>
      <c r="M304" s="35">
        <f>L304*(1+BW304/100)</f>
        <v>0</v>
      </c>
      <c r="N304" s="35">
        <v>2.0000000000000002E-5</v>
      </c>
      <c r="O304" s="35">
        <f>G304*N304</f>
        <v>1.4500000000000001E-3</v>
      </c>
      <c r="P304" s="37" t="s">
        <v>66</v>
      </c>
      <c r="Z304" s="35">
        <f>IF(AQ304="5",BJ304,0)</f>
        <v>0</v>
      </c>
      <c r="AB304" s="35">
        <f>IF(AQ304="1",BH304,0)</f>
        <v>0</v>
      </c>
      <c r="AC304" s="35">
        <f>IF(AQ304="1",BI304,0)</f>
        <v>0</v>
      </c>
      <c r="AD304" s="35">
        <f>IF(AQ304="7",BH304,0)</f>
        <v>0</v>
      </c>
      <c r="AE304" s="35">
        <f>IF(AQ304="7",BI304,0)</f>
        <v>0</v>
      </c>
      <c r="AF304" s="35">
        <f>IF(AQ304="2",BH304,0)</f>
        <v>0</v>
      </c>
      <c r="AG304" s="35">
        <f>IF(AQ304="2",BI304,0)</f>
        <v>0</v>
      </c>
      <c r="AH304" s="35">
        <f>IF(AQ304="0",BJ304,0)</f>
        <v>0</v>
      </c>
      <c r="AI304" s="12" t="s">
        <v>438</v>
      </c>
      <c r="AJ304" s="35">
        <f>IF(AN304=0,L304,0)</f>
        <v>0</v>
      </c>
      <c r="AK304" s="35">
        <f>IF(AN304=12,L304,0)</f>
        <v>0</v>
      </c>
      <c r="AL304" s="35">
        <f>IF(AN304=21,L304,0)</f>
        <v>0</v>
      </c>
      <c r="AN304" s="35">
        <v>21</v>
      </c>
      <c r="AO304" s="35">
        <f>H304*0.129009697</f>
        <v>0</v>
      </c>
      <c r="AP304" s="35">
        <f>H304*(1-0.129009697)</f>
        <v>0</v>
      </c>
      <c r="AQ304" s="36" t="s">
        <v>71</v>
      </c>
      <c r="AV304" s="35">
        <f>AW304+AX304</f>
        <v>0</v>
      </c>
      <c r="AW304" s="35">
        <f>G304*AO304</f>
        <v>0</v>
      </c>
      <c r="AX304" s="35">
        <f>G304*AP304</f>
        <v>0</v>
      </c>
      <c r="AY304" s="36" t="s">
        <v>511</v>
      </c>
      <c r="AZ304" s="36" t="s">
        <v>454</v>
      </c>
      <c r="BA304" s="12" t="s">
        <v>442</v>
      </c>
      <c r="BC304" s="35">
        <f>AW304+AX304</f>
        <v>0</v>
      </c>
      <c r="BD304" s="35">
        <f>H304/(100-BE304)*100</f>
        <v>0</v>
      </c>
      <c r="BE304" s="35">
        <v>0</v>
      </c>
      <c r="BF304" s="35">
        <f>O304</f>
        <v>1.4500000000000001E-3</v>
      </c>
      <c r="BH304" s="35">
        <f>G304*AO304</f>
        <v>0</v>
      </c>
      <c r="BI304" s="35">
        <f>G304*AP304</f>
        <v>0</v>
      </c>
      <c r="BJ304" s="35">
        <f>G304*H304</f>
        <v>0</v>
      </c>
      <c r="BK304" s="35"/>
      <c r="BL304" s="35"/>
      <c r="BW304" s="35" t="str">
        <f>I304</f>
        <v>21</v>
      </c>
      <c r="BX304" s="4" t="s">
        <v>574</v>
      </c>
    </row>
    <row r="305" spans="1:76" ht="13.5" customHeight="1" x14ac:dyDescent="0.4">
      <c r="A305" s="38"/>
      <c r="C305" s="43" t="s">
        <v>82</v>
      </c>
      <c r="D305" s="94" t="s">
        <v>575</v>
      </c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6"/>
    </row>
    <row r="306" spans="1:76" ht="14.6" x14ac:dyDescent="0.4">
      <c r="A306" s="38"/>
      <c r="D306" s="39" t="s">
        <v>576</v>
      </c>
      <c r="E306" s="40" t="s">
        <v>56</v>
      </c>
      <c r="G306" s="41">
        <v>72.5</v>
      </c>
      <c r="P306" s="42"/>
    </row>
    <row r="307" spans="1:76" ht="14.6" x14ac:dyDescent="0.4">
      <c r="A307" s="2" t="s">
        <v>577</v>
      </c>
      <c r="B307" s="3" t="s">
        <v>438</v>
      </c>
      <c r="C307" s="3" t="s">
        <v>578</v>
      </c>
      <c r="D307" s="84" t="s">
        <v>579</v>
      </c>
      <c r="E307" s="85"/>
      <c r="F307" s="3" t="s">
        <v>64</v>
      </c>
      <c r="G307" s="35">
        <v>72.5</v>
      </c>
      <c r="H307" s="82"/>
      <c r="I307" s="36" t="s">
        <v>65</v>
      </c>
      <c r="J307" s="35">
        <f>G307*AO307</f>
        <v>0</v>
      </c>
      <c r="K307" s="35">
        <f>G307*AP307</f>
        <v>0</v>
      </c>
      <c r="L307" s="35">
        <f>G307*H307</f>
        <v>0</v>
      </c>
      <c r="M307" s="35">
        <f>L307*(1+BW307/100)</f>
        <v>0</v>
      </c>
      <c r="N307" s="35">
        <v>0</v>
      </c>
      <c r="O307" s="35">
        <f>G307*N307</f>
        <v>0</v>
      </c>
      <c r="P307" s="37" t="s">
        <v>66</v>
      </c>
      <c r="Z307" s="35">
        <f>IF(AQ307="5",BJ307,0)</f>
        <v>0</v>
      </c>
      <c r="AB307" s="35">
        <f>IF(AQ307="1",BH307,0)</f>
        <v>0</v>
      </c>
      <c r="AC307" s="35">
        <f>IF(AQ307="1",BI307,0)</f>
        <v>0</v>
      </c>
      <c r="AD307" s="35">
        <f>IF(AQ307="7",BH307,0)</f>
        <v>0</v>
      </c>
      <c r="AE307" s="35">
        <f>IF(AQ307="7",BI307,0)</f>
        <v>0</v>
      </c>
      <c r="AF307" s="35">
        <f>IF(AQ307="2",BH307,0)</f>
        <v>0</v>
      </c>
      <c r="AG307" s="35">
        <f>IF(AQ307="2",BI307,0)</f>
        <v>0</v>
      </c>
      <c r="AH307" s="35">
        <f>IF(AQ307="0",BJ307,0)</f>
        <v>0</v>
      </c>
      <c r="AI307" s="12" t="s">
        <v>438</v>
      </c>
      <c r="AJ307" s="35">
        <f>IF(AN307=0,L307,0)</f>
        <v>0</v>
      </c>
      <c r="AK307" s="35">
        <f>IF(AN307=12,L307,0)</f>
        <v>0</v>
      </c>
      <c r="AL307" s="35">
        <f>IF(AN307=21,L307,0)</f>
        <v>0</v>
      </c>
      <c r="AN307" s="35">
        <v>21</v>
      </c>
      <c r="AO307" s="35">
        <f>H307*0</f>
        <v>0</v>
      </c>
      <c r="AP307" s="35">
        <f>H307*(1-0)</f>
        <v>0</v>
      </c>
      <c r="AQ307" s="36" t="s">
        <v>71</v>
      </c>
      <c r="AV307" s="35">
        <f>AW307+AX307</f>
        <v>0</v>
      </c>
      <c r="AW307" s="35">
        <f>G307*AO307</f>
        <v>0</v>
      </c>
      <c r="AX307" s="35">
        <f>G307*AP307</f>
        <v>0</v>
      </c>
      <c r="AY307" s="36" t="s">
        <v>511</v>
      </c>
      <c r="AZ307" s="36" t="s">
        <v>454</v>
      </c>
      <c r="BA307" s="12" t="s">
        <v>442</v>
      </c>
      <c r="BC307" s="35">
        <f>AW307+AX307</f>
        <v>0</v>
      </c>
      <c r="BD307" s="35">
        <f>H307/(100-BE307)*100</f>
        <v>0</v>
      </c>
      <c r="BE307" s="35">
        <v>0</v>
      </c>
      <c r="BF307" s="35">
        <f>O307</f>
        <v>0</v>
      </c>
      <c r="BH307" s="35">
        <f>G307*AO307</f>
        <v>0</v>
      </c>
      <c r="BI307" s="35">
        <f>G307*AP307</f>
        <v>0</v>
      </c>
      <c r="BJ307" s="35">
        <f>G307*H307</f>
        <v>0</v>
      </c>
      <c r="BK307" s="35"/>
      <c r="BL307" s="35"/>
      <c r="BW307" s="35" t="str">
        <f>I307</f>
        <v>21</v>
      </c>
      <c r="BX307" s="4" t="s">
        <v>579</v>
      </c>
    </row>
    <row r="308" spans="1:76" ht="13.5" customHeight="1" x14ac:dyDescent="0.4">
      <c r="A308" s="38"/>
      <c r="C308" s="43" t="s">
        <v>82</v>
      </c>
      <c r="D308" s="94" t="s">
        <v>580</v>
      </c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6"/>
    </row>
    <row r="309" spans="1:76" ht="14.6" x14ac:dyDescent="0.4">
      <c r="A309" s="31" t="s">
        <v>56</v>
      </c>
      <c r="B309" s="32" t="s">
        <v>438</v>
      </c>
      <c r="C309" s="32" t="s">
        <v>581</v>
      </c>
      <c r="D309" s="89" t="s">
        <v>582</v>
      </c>
      <c r="E309" s="90"/>
      <c r="F309" s="33" t="s">
        <v>4</v>
      </c>
      <c r="G309" s="33" t="s">
        <v>4</v>
      </c>
      <c r="H309" s="33" t="s">
        <v>4</v>
      </c>
      <c r="I309" s="33" t="s">
        <v>4</v>
      </c>
      <c r="J309" s="1">
        <f>SUM(J310:J323)</f>
        <v>0</v>
      </c>
      <c r="K309" s="1">
        <f>SUM(K310:K323)</f>
        <v>0</v>
      </c>
      <c r="L309" s="1">
        <f>SUM(L310:L323)</f>
        <v>0</v>
      </c>
      <c r="M309" s="1">
        <f>SUM(M310:M323)</f>
        <v>0</v>
      </c>
      <c r="N309" s="12" t="s">
        <v>56</v>
      </c>
      <c r="O309" s="1">
        <f>SUM(O310:O323)</f>
        <v>0.20959999999999998</v>
      </c>
      <c r="P309" s="34" t="s">
        <v>56</v>
      </c>
      <c r="AI309" s="12" t="s">
        <v>438</v>
      </c>
      <c r="AS309" s="1">
        <f>SUM(AJ310:AJ323)</f>
        <v>0</v>
      </c>
      <c r="AT309" s="1">
        <f>SUM(AK310:AK323)</f>
        <v>0</v>
      </c>
      <c r="AU309" s="1">
        <f>SUM(AL310:AL323)</f>
        <v>0</v>
      </c>
    </row>
    <row r="310" spans="1:76" ht="24.9" x14ac:dyDescent="0.4">
      <c r="A310" s="2" t="s">
        <v>583</v>
      </c>
      <c r="B310" s="3" t="s">
        <v>438</v>
      </c>
      <c r="C310" s="3" t="s">
        <v>584</v>
      </c>
      <c r="D310" s="84" t="s">
        <v>585</v>
      </c>
      <c r="E310" s="85"/>
      <c r="F310" s="3" t="s">
        <v>133</v>
      </c>
      <c r="G310" s="35">
        <v>5</v>
      </c>
      <c r="H310" s="82"/>
      <c r="I310" s="36" t="s">
        <v>65</v>
      </c>
      <c r="J310" s="35">
        <f>G310*AO310</f>
        <v>0</v>
      </c>
      <c r="K310" s="35">
        <f>G310*AP310</f>
        <v>0</v>
      </c>
      <c r="L310" s="35">
        <f>G310*H310</f>
        <v>0</v>
      </c>
      <c r="M310" s="35">
        <f>L310*(1+BW310/100)</f>
        <v>0</v>
      </c>
      <c r="N310" s="35">
        <v>0</v>
      </c>
      <c r="O310" s="35">
        <f>G310*N310</f>
        <v>0</v>
      </c>
      <c r="P310" s="37" t="s">
        <v>66</v>
      </c>
      <c r="Z310" s="35">
        <f>IF(AQ310="5",BJ310,0)</f>
        <v>0</v>
      </c>
      <c r="AB310" s="35">
        <f>IF(AQ310="1",BH310,0)</f>
        <v>0</v>
      </c>
      <c r="AC310" s="35">
        <f>IF(AQ310="1",BI310,0)</f>
        <v>0</v>
      </c>
      <c r="AD310" s="35">
        <f>IF(AQ310="7",BH310,0)</f>
        <v>0</v>
      </c>
      <c r="AE310" s="35">
        <f>IF(AQ310="7",BI310,0)</f>
        <v>0</v>
      </c>
      <c r="AF310" s="35">
        <f>IF(AQ310="2",BH310,0)</f>
        <v>0</v>
      </c>
      <c r="AG310" s="35">
        <f>IF(AQ310="2",BI310,0)</f>
        <v>0</v>
      </c>
      <c r="AH310" s="35">
        <f>IF(AQ310="0",BJ310,0)</f>
        <v>0</v>
      </c>
      <c r="AI310" s="12" t="s">
        <v>438</v>
      </c>
      <c r="AJ310" s="35">
        <f>IF(AN310=0,L310,0)</f>
        <v>0</v>
      </c>
      <c r="AK310" s="35">
        <f>IF(AN310=12,L310,0)</f>
        <v>0</v>
      </c>
      <c r="AL310" s="35">
        <f>IF(AN310=21,L310,0)</f>
        <v>0</v>
      </c>
      <c r="AN310" s="35">
        <v>21</v>
      </c>
      <c r="AO310" s="35">
        <f>H310*0</f>
        <v>0</v>
      </c>
      <c r="AP310" s="35">
        <f>H310*(1-0)</f>
        <v>0</v>
      </c>
      <c r="AQ310" s="36" t="s">
        <v>71</v>
      </c>
      <c r="AV310" s="35">
        <f>AW310+AX310</f>
        <v>0</v>
      </c>
      <c r="AW310" s="35">
        <f>G310*AO310</f>
        <v>0</v>
      </c>
      <c r="AX310" s="35">
        <f>G310*AP310</f>
        <v>0</v>
      </c>
      <c r="AY310" s="36" t="s">
        <v>586</v>
      </c>
      <c r="AZ310" s="36" t="s">
        <v>454</v>
      </c>
      <c r="BA310" s="12" t="s">
        <v>442</v>
      </c>
      <c r="BC310" s="35">
        <f>AW310+AX310</f>
        <v>0</v>
      </c>
      <c r="BD310" s="35">
        <f>H310/(100-BE310)*100</f>
        <v>0</v>
      </c>
      <c r="BE310" s="35">
        <v>0</v>
      </c>
      <c r="BF310" s="35">
        <f>O310</f>
        <v>0</v>
      </c>
      <c r="BH310" s="35">
        <f>G310*AO310</f>
        <v>0</v>
      </c>
      <c r="BI310" s="35">
        <f>G310*AP310</f>
        <v>0</v>
      </c>
      <c r="BJ310" s="35">
        <f>G310*H310</f>
        <v>0</v>
      </c>
      <c r="BK310" s="35"/>
      <c r="BL310" s="35"/>
      <c r="BW310" s="35" t="str">
        <f>I310</f>
        <v>21</v>
      </c>
      <c r="BX310" s="4" t="s">
        <v>585</v>
      </c>
    </row>
    <row r="311" spans="1:76" ht="13.5" customHeight="1" x14ac:dyDescent="0.4">
      <c r="A311" s="38"/>
      <c r="C311" s="43" t="s">
        <v>82</v>
      </c>
      <c r="D311" s="94" t="s">
        <v>587</v>
      </c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6"/>
    </row>
    <row r="312" spans="1:76" ht="14.6" x14ac:dyDescent="0.4">
      <c r="A312" s="2" t="s">
        <v>588</v>
      </c>
      <c r="B312" s="3" t="s">
        <v>438</v>
      </c>
      <c r="C312" s="3" t="s">
        <v>589</v>
      </c>
      <c r="D312" s="84" t="s">
        <v>590</v>
      </c>
      <c r="E312" s="85"/>
      <c r="F312" s="3" t="s">
        <v>98</v>
      </c>
      <c r="G312" s="35">
        <v>190</v>
      </c>
      <c r="H312" s="82"/>
      <c r="I312" s="36" t="s">
        <v>65</v>
      </c>
      <c r="J312" s="35">
        <f>G312*AO312</f>
        <v>0</v>
      </c>
      <c r="K312" s="35">
        <f>G312*AP312</f>
        <v>0</v>
      </c>
      <c r="L312" s="35">
        <f>G312*H312</f>
        <v>0</v>
      </c>
      <c r="M312" s="35">
        <f>L312*(1+BW312/100)</f>
        <v>0</v>
      </c>
      <c r="N312" s="35">
        <v>9.8999999999999999E-4</v>
      </c>
      <c r="O312" s="35">
        <f>G312*N312</f>
        <v>0.18809999999999999</v>
      </c>
      <c r="P312" s="37" t="s">
        <v>66</v>
      </c>
      <c r="Z312" s="35">
        <f>IF(AQ312="5",BJ312,0)</f>
        <v>0</v>
      </c>
      <c r="AB312" s="35">
        <f>IF(AQ312="1",BH312,0)</f>
        <v>0</v>
      </c>
      <c r="AC312" s="35">
        <f>IF(AQ312="1",BI312,0)</f>
        <v>0</v>
      </c>
      <c r="AD312" s="35">
        <f>IF(AQ312="7",BH312,0)</f>
        <v>0</v>
      </c>
      <c r="AE312" s="35">
        <f>IF(AQ312="7",BI312,0)</f>
        <v>0</v>
      </c>
      <c r="AF312" s="35">
        <f>IF(AQ312="2",BH312,0)</f>
        <v>0</v>
      </c>
      <c r="AG312" s="35">
        <f>IF(AQ312="2",BI312,0)</f>
        <v>0</v>
      </c>
      <c r="AH312" s="35">
        <f>IF(AQ312="0",BJ312,0)</f>
        <v>0</v>
      </c>
      <c r="AI312" s="12" t="s">
        <v>438</v>
      </c>
      <c r="AJ312" s="35">
        <f>IF(AN312=0,L312,0)</f>
        <v>0</v>
      </c>
      <c r="AK312" s="35">
        <f>IF(AN312=12,L312,0)</f>
        <v>0</v>
      </c>
      <c r="AL312" s="35">
        <f>IF(AN312=21,L312,0)</f>
        <v>0</v>
      </c>
      <c r="AN312" s="35">
        <v>21</v>
      </c>
      <c r="AO312" s="35">
        <f>H312*0.379004525</f>
        <v>0</v>
      </c>
      <c r="AP312" s="35">
        <f>H312*(1-0.379004525)</f>
        <v>0</v>
      </c>
      <c r="AQ312" s="36" t="s">
        <v>71</v>
      </c>
      <c r="AV312" s="35">
        <f>AW312+AX312</f>
        <v>0</v>
      </c>
      <c r="AW312" s="35">
        <f>G312*AO312</f>
        <v>0</v>
      </c>
      <c r="AX312" s="35">
        <f>G312*AP312</f>
        <v>0</v>
      </c>
      <c r="AY312" s="36" t="s">
        <v>586</v>
      </c>
      <c r="AZ312" s="36" t="s">
        <v>454</v>
      </c>
      <c r="BA312" s="12" t="s">
        <v>442</v>
      </c>
      <c r="BC312" s="35">
        <f>AW312+AX312</f>
        <v>0</v>
      </c>
      <c r="BD312" s="35">
        <f>H312/(100-BE312)*100</f>
        <v>0</v>
      </c>
      <c r="BE312" s="35">
        <v>0</v>
      </c>
      <c r="BF312" s="35">
        <f>O312</f>
        <v>0.18809999999999999</v>
      </c>
      <c r="BH312" s="35">
        <f>G312*AO312</f>
        <v>0</v>
      </c>
      <c r="BI312" s="35">
        <f>G312*AP312</f>
        <v>0</v>
      </c>
      <c r="BJ312" s="35">
        <f>G312*H312</f>
        <v>0</v>
      </c>
      <c r="BK312" s="35"/>
      <c r="BL312" s="35"/>
      <c r="BW312" s="35" t="str">
        <f>I312</f>
        <v>21</v>
      </c>
      <c r="BX312" s="4" t="s">
        <v>590</v>
      </c>
    </row>
    <row r="313" spans="1:76" ht="13.5" customHeight="1" x14ac:dyDescent="0.4">
      <c r="A313" s="38"/>
      <c r="C313" s="43" t="s">
        <v>82</v>
      </c>
      <c r="D313" s="94" t="s">
        <v>591</v>
      </c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6"/>
    </row>
    <row r="314" spans="1:76" ht="14.6" x14ac:dyDescent="0.4">
      <c r="A314" s="2" t="s">
        <v>592</v>
      </c>
      <c r="B314" s="3" t="s">
        <v>438</v>
      </c>
      <c r="C314" s="3" t="s">
        <v>593</v>
      </c>
      <c r="D314" s="84" t="s">
        <v>594</v>
      </c>
      <c r="E314" s="85"/>
      <c r="F314" s="3" t="s">
        <v>98</v>
      </c>
      <c r="G314" s="35">
        <v>15</v>
      </c>
      <c r="H314" s="82"/>
      <c r="I314" s="36" t="s">
        <v>65</v>
      </c>
      <c r="J314" s="35">
        <f>G314*AO314</f>
        <v>0</v>
      </c>
      <c r="K314" s="35">
        <f>G314*AP314</f>
        <v>0</v>
      </c>
      <c r="L314" s="35">
        <f>G314*H314</f>
        <v>0</v>
      </c>
      <c r="M314" s="35">
        <f>L314*(1+BW314/100)</f>
        <v>0</v>
      </c>
      <c r="N314" s="35">
        <v>1.0499999999999999E-3</v>
      </c>
      <c r="O314" s="35">
        <f>G314*N314</f>
        <v>1.575E-2</v>
      </c>
      <c r="P314" s="37" t="s">
        <v>66</v>
      </c>
      <c r="Z314" s="35">
        <f>IF(AQ314="5",BJ314,0)</f>
        <v>0</v>
      </c>
      <c r="AB314" s="35">
        <f>IF(AQ314="1",BH314,0)</f>
        <v>0</v>
      </c>
      <c r="AC314" s="35">
        <f>IF(AQ314="1",BI314,0)</f>
        <v>0</v>
      </c>
      <c r="AD314" s="35">
        <f>IF(AQ314="7",BH314,0)</f>
        <v>0</v>
      </c>
      <c r="AE314" s="35">
        <f>IF(AQ314="7",BI314,0)</f>
        <v>0</v>
      </c>
      <c r="AF314" s="35">
        <f>IF(AQ314="2",BH314,0)</f>
        <v>0</v>
      </c>
      <c r="AG314" s="35">
        <f>IF(AQ314="2",BI314,0)</f>
        <v>0</v>
      </c>
      <c r="AH314" s="35">
        <f>IF(AQ314="0",BJ314,0)</f>
        <v>0</v>
      </c>
      <c r="AI314" s="12" t="s">
        <v>438</v>
      </c>
      <c r="AJ314" s="35">
        <f>IF(AN314=0,L314,0)</f>
        <v>0</v>
      </c>
      <c r="AK314" s="35">
        <f>IF(AN314=12,L314,0)</f>
        <v>0</v>
      </c>
      <c r="AL314" s="35">
        <f>IF(AN314=21,L314,0)</f>
        <v>0</v>
      </c>
      <c r="AN314" s="35">
        <v>21</v>
      </c>
      <c r="AO314" s="35">
        <f>H314*0.387959866</f>
        <v>0</v>
      </c>
      <c r="AP314" s="35">
        <f>H314*(1-0.387959866)</f>
        <v>0</v>
      </c>
      <c r="AQ314" s="36" t="s">
        <v>71</v>
      </c>
      <c r="AV314" s="35">
        <f>AW314+AX314</f>
        <v>0</v>
      </c>
      <c r="AW314" s="35">
        <f>G314*AO314</f>
        <v>0</v>
      </c>
      <c r="AX314" s="35">
        <f>G314*AP314</f>
        <v>0</v>
      </c>
      <c r="AY314" s="36" t="s">
        <v>586</v>
      </c>
      <c r="AZ314" s="36" t="s">
        <v>454</v>
      </c>
      <c r="BA314" s="12" t="s">
        <v>442</v>
      </c>
      <c r="BC314" s="35">
        <f>AW314+AX314</f>
        <v>0</v>
      </c>
      <c r="BD314" s="35">
        <f>H314/(100-BE314)*100</f>
        <v>0</v>
      </c>
      <c r="BE314" s="35">
        <v>0</v>
      </c>
      <c r="BF314" s="35">
        <f>O314</f>
        <v>1.575E-2</v>
      </c>
      <c r="BH314" s="35">
        <f>G314*AO314</f>
        <v>0</v>
      </c>
      <c r="BI314" s="35">
        <f>G314*AP314</f>
        <v>0</v>
      </c>
      <c r="BJ314" s="35">
        <f>G314*H314</f>
        <v>0</v>
      </c>
      <c r="BK314" s="35"/>
      <c r="BL314" s="35"/>
      <c r="BW314" s="35" t="str">
        <f>I314</f>
        <v>21</v>
      </c>
      <c r="BX314" s="4" t="s">
        <v>594</v>
      </c>
    </row>
    <row r="315" spans="1:76" ht="13.5" customHeight="1" x14ac:dyDescent="0.4">
      <c r="A315" s="38"/>
      <c r="C315" s="43" t="s">
        <v>82</v>
      </c>
      <c r="D315" s="94" t="s">
        <v>595</v>
      </c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6"/>
    </row>
    <row r="316" spans="1:76" ht="14.6" x14ac:dyDescent="0.4">
      <c r="A316" s="38"/>
      <c r="D316" s="39" t="s">
        <v>596</v>
      </c>
      <c r="E316" s="40" t="s">
        <v>56</v>
      </c>
      <c r="G316" s="41">
        <v>15</v>
      </c>
      <c r="P316" s="42"/>
    </row>
    <row r="317" spans="1:76" ht="14.6" x14ac:dyDescent="0.4">
      <c r="A317" s="2" t="s">
        <v>597</v>
      </c>
      <c r="B317" s="3" t="s">
        <v>438</v>
      </c>
      <c r="C317" s="3" t="s">
        <v>598</v>
      </c>
      <c r="D317" s="84" t="s">
        <v>599</v>
      </c>
      <c r="E317" s="85"/>
      <c r="F317" s="3" t="s">
        <v>133</v>
      </c>
      <c r="G317" s="35">
        <v>10</v>
      </c>
      <c r="H317" s="82"/>
      <c r="I317" s="36" t="s">
        <v>65</v>
      </c>
      <c r="J317" s="35">
        <f>G317*AO317</f>
        <v>0</v>
      </c>
      <c r="K317" s="35">
        <f>G317*AP317</f>
        <v>0</v>
      </c>
      <c r="L317" s="35">
        <f>G317*H317</f>
        <v>0</v>
      </c>
      <c r="M317" s="35">
        <f>L317*(1+BW317/100)</f>
        <v>0</v>
      </c>
      <c r="N317" s="35">
        <v>2.9999999999999997E-4</v>
      </c>
      <c r="O317" s="35">
        <f>G317*N317</f>
        <v>2.9999999999999996E-3</v>
      </c>
      <c r="P317" s="37" t="s">
        <v>66</v>
      </c>
      <c r="Z317" s="35">
        <f>IF(AQ317="5",BJ317,0)</f>
        <v>0</v>
      </c>
      <c r="AB317" s="35">
        <f>IF(AQ317="1",BH317,0)</f>
        <v>0</v>
      </c>
      <c r="AC317" s="35">
        <f>IF(AQ317="1",BI317,0)</f>
        <v>0</v>
      </c>
      <c r="AD317" s="35">
        <f>IF(AQ317="7",BH317,0)</f>
        <v>0</v>
      </c>
      <c r="AE317" s="35">
        <f>IF(AQ317="7",BI317,0)</f>
        <v>0</v>
      </c>
      <c r="AF317" s="35">
        <f>IF(AQ317="2",BH317,0)</f>
        <v>0</v>
      </c>
      <c r="AG317" s="35">
        <f>IF(AQ317="2",BI317,0)</f>
        <v>0</v>
      </c>
      <c r="AH317" s="35">
        <f>IF(AQ317="0",BJ317,0)</f>
        <v>0</v>
      </c>
      <c r="AI317" s="12" t="s">
        <v>438</v>
      </c>
      <c r="AJ317" s="35">
        <f>IF(AN317=0,L317,0)</f>
        <v>0</v>
      </c>
      <c r="AK317" s="35">
        <f>IF(AN317=12,L317,0)</f>
        <v>0</v>
      </c>
      <c r="AL317" s="35">
        <f>IF(AN317=21,L317,0)</f>
        <v>0</v>
      </c>
      <c r="AN317" s="35">
        <v>21</v>
      </c>
      <c r="AO317" s="35">
        <f>H317*0.245970568</f>
        <v>0</v>
      </c>
      <c r="AP317" s="35">
        <f>H317*(1-0.245970568)</f>
        <v>0</v>
      </c>
      <c r="AQ317" s="36" t="s">
        <v>71</v>
      </c>
      <c r="AV317" s="35">
        <f>AW317+AX317</f>
        <v>0</v>
      </c>
      <c r="AW317" s="35">
        <f>G317*AO317</f>
        <v>0</v>
      </c>
      <c r="AX317" s="35">
        <f>G317*AP317</f>
        <v>0</v>
      </c>
      <c r="AY317" s="36" t="s">
        <v>586</v>
      </c>
      <c r="AZ317" s="36" t="s">
        <v>454</v>
      </c>
      <c r="BA317" s="12" t="s">
        <v>442</v>
      </c>
      <c r="BC317" s="35">
        <f>AW317+AX317</f>
        <v>0</v>
      </c>
      <c r="BD317" s="35">
        <f>H317/(100-BE317)*100</f>
        <v>0</v>
      </c>
      <c r="BE317" s="35">
        <v>0</v>
      </c>
      <c r="BF317" s="35">
        <f>O317</f>
        <v>2.9999999999999996E-3</v>
      </c>
      <c r="BH317" s="35">
        <f>G317*AO317</f>
        <v>0</v>
      </c>
      <c r="BI317" s="35">
        <f>G317*AP317</f>
        <v>0</v>
      </c>
      <c r="BJ317" s="35">
        <f>G317*H317</f>
        <v>0</v>
      </c>
      <c r="BK317" s="35"/>
      <c r="BL317" s="35"/>
      <c r="BW317" s="35" t="str">
        <f>I317</f>
        <v>21</v>
      </c>
      <c r="BX317" s="4" t="s">
        <v>599</v>
      </c>
    </row>
    <row r="318" spans="1:76" ht="13.5" customHeight="1" x14ac:dyDescent="0.4">
      <c r="A318" s="38"/>
      <c r="C318" s="43" t="s">
        <v>82</v>
      </c>
      <c r="D318" s="94" t="s">
        <v>600</v>
      </c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6"/>
    </row>
    <row r="319" spans="1:76" ht="14.6" x14ac:dyDescent="0.4">
      <c r="A319" s="2" t="s">
        <v>601</v>
      </c>
      <c r="B319" s="3" t="s">
        <v>438</v>
      </c>
      <c r="C319" s="3" t="s">
        <v>602</v>
      </c>
      <c r="D319" s="84" t="s">
        <v>603</v>
      </c>
      <c r="E319" s="85"/>
      <c r="F319" s="3" t="s">
        <v>133</v>
      </c>
      <c r="G319" s="35">
        <v>10</v>
      </c>
      <c r="H319" s="82"/>
      <c r="I319" s="36" t="s">
        <v>65</v>
      </c>
      <c r="J319" s="35">
        <f>G319*AO319</f>
        <v>0</v>
      </c>
      <c r="K319" s="35">
        <f>G319*AP319</f>
        <v>0</v>
      </c>
      <c r="L319" s="35">
        <f>G319*H319</f>
        <v>0</v>
      </c>
      <c r="M319" s="35">
        <f>L319*(1+BW319/100)</f>
        <v>0</v>
      </c>
      <c r="N319" s="35">
        <v>2.1000000000000001E-4</v>
      </c>
      <c r="O319" s="35">
        <f>G319*N319</f>
        <v>2.1000000000000003E-3</v>
      </c>
      <c r="P319" s="37" t="s">
        <v>66</v>
      </c>
      <c r="Z319" s="35">
        <f>IF(AQ319="5",BJ319,0)</f>
        <v>0</v>
      </c>
      <c r="AB319" s="35">
        <f>IF(AQ319="1",BH319,0)</f>
        <v>0</v>
      </c>
      <c r="AC319" s="35">
        <f>IF(AQ319="1",BI319,0)</f>
        <v>0</v>
      </c>
      <c r="AD319" s="35">
        <f>IF(AQ319="7",BH319,0)</f>
        <v>0</v>
      </c>
      <c r="AE319" s="35">
        <f>IF(AQ319="7",BI319,0)</f>
        <v>0</v>
      </c>
      <c r="AF319" s="35">
        <f>IF(AQ319="2",BH319,0)</f>
        <v>0</v>
      </c>
      <c r="AG319" s="35">
        <f>IF(AQ319="2",BI319,0)</f>
        <v>0</v>
      </c>
      <c r="AH319" s="35">
        <f>IF(AQ319="0",BJ319,0)</f>
        <v>0</v>
      </c>
      <c r="AI319" s="12" t="s">
        <v>438</v>
      </c>
      <c r="AJ319" s="35">
        <f>IF(AN319=0,L319,0)</f>
        <v>0</v>
      </c>
      <c r="AK319" s="35">
        <f>IF(AN319=12,L319,0)</f>
        <v>0</v>
      </c>
      <c r="AL319" s="35">
        <f>IF(AN319=21,L319,0)</f>
        <v>0</v>
      </c>
      <c r="AN319" s="35">
        <v>21</v>
      </c>
      <c r="AO319" s="35">
        <f>H319*0.146596195</f>
        <v>0</v>
      </c>
      <c r="AP319" s="35">
        <f>H319*(1-0.146596195)</f>
        <v>0</v>
      </c>
      <c r="AQ319" s="36" t="s">
        <v>71</v>
      </c>
      <c r="AV319" s="35">
        <f>AW319+AX319</f>
        <v>0</v>
      </c>
      <c r="AW319" s="35">
        <f>G319*AO319</f>
        <v>0</v>
      </c>
      <c r="AX319" s="35">
        <f>G319*AP319</f>
        <v>0</v>
      </c>
      <c r="AY319" s="36" t="s">
        <v>586</v>
      </c>
      <c r="AZ319" s="36" t="s">
        <v>454</v>
      </c>
      <c r="BA319" s="12" t="s">
        <v>442</v>
      </c>
      <c r="BC319" s="35">
        <f>AW319+AX319</f>
        <v>0</v>
      </c>
      <c r="BD319" s="35">
        <f>H319/(100-BE319)*100</f>
        <v>0</v>
      </c>
      <c r="BE319" s="35">
        <v>0</v>
      </c>
      <c r="BF319" s="35">
        <f>O319</f>
        <v>2.1000000000000003E-3</v>
      </c>
      <c r="BH319" s="35">
        <f>G319*AO319</f>
        <v>0</v>
      </c>
      <c r="BI319" s="35">
        <f>G319*AP319</f>
        <v>0</v>
      </c>
      <c r="BJ319" s="35">
        <f>G319*H319</f>
        <v>0</v>
      </c>
      <c r="BK319" s="35"/>
      <c r="BL319" s="35"/>
      <c r="BW319" s="35" t="str">
        <f>I319</f>
        <v>21</v>
      </c>
      <c r="BX319" s="4" t="s">
        <v>603</v>
      </c>
    </row>
    <row r="320" spans="1:76" ht="13.5" customHeight="1" x14ac:dyDescent="0.4">
      <c r="A320" s="38"/>
      <c r="C320" s="43" t="s">
        <v>82</v>
      </c>
      <c r="D320" s="94" t="s">
        <v>604</v>
      </c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6"/>
    </row>
    <row r="321" spans="1:76" ht="14.6" x14ac:dyDescent="0.4">
      <c r="A321" s="2" t="s">
        <v>605</v>
      </c>
      <c r="B321" s="3" t="s">
        <v>438</v>
      </c>
      <c r="C321" s="3" t="s">
        <v>606</v>
      </c>
      <c r="D321" s="84" t="s">
        <v>603</v>
      </c>
      <c r="E321" s="85"/>
      <c r="F321" s="3" t="s">
        <v>133</v>
      </c>
      <c r="G321" s="35">
        <v>5</v>
      </c>
      <c r="H321" s="82"/>
      <c r="I321" s="36" t="s">
        <v>65</v>
      </c>
      <c r="J321" s="35">
        <f>G321*AO321</f>
        <v>0</v>
      </c>
      <c r="K321" s="35">
        <f>G321*AP321</f>
        <v>0</v>
      </c>
      <c r="L321" s="35">
        <f>G321*H321</f>
        <v>0</v>
      </c>
      <c r="M321" s="35">
        <f>L321*(1+BW321/100)</f>
        <v>0</v>
      </c>
      <c r="N321" s="35">
        <v>1.2999999999999999E-4</v>
      </c>
      <c r="O321" s="35">
        <f>G321*N321</f>
        <v>6.4999999999999997E-4</v>
      </c>
      <c r="P321" s="37" t="s">
        <v>66</v>
      </c>
      <c r="Z321" s="35">
        <f>IF(AQ321="5",BJ321,0)</f>
        <v>0</v>
      </c>
      <c r="AB321" s="35">
        <f>IF(AQ321="1",BH321,0)</f>
        <v>0</v>
      </c>
      <c r="AC321" s="35">
        <f>IF(AQ321="1",BI321,0)</f>
        <v>0</v>
      </c>
      <c r="AD321" s="35">
        <f>IF(AQ321="7",BH321,0)</f>
        <v>0</v>
      </c>
      <c r="AE321" s="35">
        <f>IF(AQ321="7",BI321,0)</f>
        <v>0</v>
      </c>
      <c r="AF321" s="35">
        <f>IF(AQ321="2",BH321,0)</f>
        <v>0</v>
      </c>
      <c r="AG321" s="35">
        <f>IF(AQ321="2",BI321,0)</f>
        <v>0</v>
      </c>
      <c r="AH321" s="35">
        <f>IF(AQ321="0",BJ321,0)</f>
        <v>0</v>
      </c>
      <c r="AI321" s="12" t="s">
        <v>438</v>
      </c>
      <c r="AJ321" s="35">
        <f>IF(AN321=0,L321,0)</f>
        <v>0</v>
      </c>
      <c r="AK321" s="35">
        <f>IF(AN321=12,L321,0)</f>
        <v>0</v>
      </c>
      <c r="AL321" s="35">
        <f>IF(AN321=21,L321,0)</f>
        <v>0</v>
      </c>
      <c r="AN321" s="35">
        <v>21</v>
      </c>
      <c r="AO321" s="35">
        <f>H321*0.096689038</f>
        <v>0</v>
      </c>
      <c r="AP321" s="35">
        <f>H321*(1-0.096689038)</f>
        <v>0</v>
      </c>
      <c r="AQ321" s="36" t="s">
        <v>71</v>
      </c>
      <c r="AV321" s="35">
        <f>AW321+AX321</f>
        <v>0</v>
      </c>
      <c r="AW321" s="35">
        <f>G321*AO321</f>
        <v>0</v>
      </c>
      <c r="AX321" s="35">
        <f>G321*AP321</f>
        <v>0</v>
      </c>
      <c r="AY321" s="36" t="s">
        <v>586</v>
      </c>
      <c r="AZ321" s="36" t="s">
        <v>454</v>
      </c>
      <c r="BA321" s="12" t="s">
        <v>442</v>
      </c>
      <c r="BC321" s="35">
        <f>AW321+AX321</f>
        <v>0</v>
      </c>
      <c r="BD321" s="35">
        <f>H321/(100-BE321)*100</f>
        <v>0</v>
      </c>
      <c r="BE321" s="35">
        <v>0</v>
      </c>
      <c r="BF321" s="35">
        <f>O321</f>
        <v>6.4999999999999997E-4</v>
      </c>
      <c r="BH321" s="35">
        <f>G321*AO321</f>
        <v>0</v>
      </c>
      <c r="BI321" s="35">
        <f>G321*AP321</f>
        <v>0</v>
      </c>
      <c r="BJ321" s="35">
        <f>G321*H321</f>
        <v>0</v>
      </c>
      <c r="BK321" s="35"/>
      <c r="BL321" s="35"/>
      <c r="BW321" s="35" t="str">
        <f>I321</f>
        <v>21</v>
      </c>
      <c r="BX321" s="4" t="s">
        <v>603</v>
      </c>
    </row>
    <row r="322" spans="1:76" ht="13.5" customHeight="1" x14ac:dyDescent="0.4">
      <c r="A322" s="38"/>
      <c r="C322" s="43" t="s">
        <v>82</v>
      </c>
      <c r="D322" s="94" t="s">
        <v>607</v>
      </c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6"/>
    </row>
    <row r="323" spans="1:76" ht="14.6" x14ac:dyDescent="0.4">
      <c r="A323" s="2" t="s">
        <v>608</v>
      </c>
      <c r="B323" s="3" t="s">
        <v>438</v>
      </c>
      <c r="C323" s="3" t="s">
        <v>609</v>
      </c>
      <c r="D323" s="84" t="s">
        <v>610</v>
      </c>
      <c r="E323" s="85"/>
      <c r="F323" s="3" t="s">
        <v>133</v>
      </c>
      <c r="G323" s="35">
        <v>5</v>
      </c>
      <c r="H323" s="82"/>
      <c r="I323" s="36" t="s">
        <v>65</v>
      </c>
      <c r="J323" s="35">
        <f>G323*AO323</f>
        <v>0</v>
      </c>
      <c r="K323" s="35">
        <f>G323*AP323</f>
        <v>0</v>
      </c>
      <c r="L323" s="35">
        <f>G323*H323</f>
        <v>0</v>
      </c>
      <c r="M323" s="35">
        <f>L323*(1+BW323/100)</f>
        <v>0</v>
      </c>
      <c r="N323" s="35">
        <v>0</v>
      </c>
      <c r="O323" s="35">
        <f>G323*N323</f>
        <v>0</v>
      </c>
      <c r="P323" s="37" t="s">
        <v>66</v>
      </c>
      <c r="Z323" s="35">
        <f>IF(AQ323="5",BJ323,0)</f>
        <v>0</v>
      </c>
      <c r="AB323" s="35">
        <f>IF(AQ323="1",BH323,0)</f>
        <v>0</v>
      </c>
      <c r="AC323" s="35">
        <f>IF(AQ323="1",BI323,0)</f>
        <v>0</v>
      </c>
      <c r="AD323" s="35">
        <f>IF(AQ323="7",BH323,0)</f>
        <v>0</v>
      </c>
      <c r="AE323" s="35">
        <f>IF(AQ323="7",BI323,0)</f>
        <v>0</v>
      </c>
      <c r="AF323" s="35">
        <f>IF(AQ323="2",BH323,0)</f>
        <v>0</v>
      </c>
      <c r="AG323" s="35">
        <f>IF(AQ323="2",BI323,0)</f>
        <v>0</v>
      </c>
      <c r="AH323" s="35">
        <f>IF(AQ323="0",BJ323,0)</f>
        <v>0</v>
      </c>
      <c r="AI323" s="12" t="s">
        <v>438</v>
      </c>
      <c r="AJ323" s="35">
        <f>IF(AN323=0,L323,0)</f>
        <v>0</v>
      </c>
      <c r="AK323" s="35">
        <f>IF(AN323=12,L323,0)</f>
        <v>0</v>
      </c>
      <c r="AL323" s="35">
        <f>IF(AN323=21,L323,0)</f>
        <v>0</v>
      </c>
      <c r="AN323" s="35">
        <v>21</v>
      </c>
      <c r="AO323" s="35">
        <f>H323*0.06</f>
        <v>0</v>
      </c>
      <c r="AP323" s="35">
        <f>H323*(1-0.06)</f>
        <v>0</v>
      </c>
      <c r="AQ323" s="36" t="s">
        <v>71</v>
      </c>
      <c r="AV323" s="35">
        <f>AW323+AX323</f>
        <v>0</v>
      </c>
      <c r="AW323" s="35">
        <f>G323*AO323</f>
        <v>0</v>
      </c>
      <c r="AX323" s="35">
        <f>G323*AP323</f>
        <v>0</v>
      </c>
      <c r="AY323" s="36" t="s">
        <v>586</v>
      </c>
      <c r="AZ323" s="36" t="s">
        <v>454</v>
      </c>
      <c r="BA323" s="12" t="s">
        <v>442</v>
      </c>
      <c r="BC323" s="35">
        <f>AW323+AX323</f>
        <v>0</v>
      </c>
      <c r="BD323" s="35">
        <f>H323/(100-BE323)*100</f>
        <v>0</v>
      </c>
      <c r="BE323" s="35">
        <v>0</v>
      </c>
      <c r="BF323" s="35">
        <f>O323</f>
        <v>0</v>
      </c>
      <c r="BH323" s="35">
        <f>G323*AO323</f>
        <v>0</v>
      </c>
      <c r="BI323" s="35">
        <f>G323*AP323</f>
        <v>0</v>
      </c>
      <c r="BJ323" s="35">
        <f>G323*H323</f>
        <v>0</v>
      </c>
      <c r="BK323" s="35"/>
      <c r="BL323" s="35"/>
      <c r="BW323" s="35" t="str">
        <f>I323</f>
        <v>21</v>
      </c>
      <c r="BX323" s="4" t="s">
        <v>610</v>
      </c>
    </row>
    <row r="324" spans="1:76" ht="13.5" customHeight="1" x14ac:dyDescent="0.4">
      <c r="A324" s="38"/>
      <c r="C324" s="43" t="s">
        <v>82</v>
      </c>
      <c r="D324" s="94" t="s">
        <v>611</v>
      </c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6"/>
    </row>
    <row r="325" spans="1:76" ht="14.6" x14ac:dyDescent="0.4">
      <c r="A325" s="31" t="s">
        <v>56</v>
      </c>
      <c r="B325" s="32" t="s">
        <v>438</v>
      </c>
      <c r="C325" s="32" t="s">
        <v>612</v>
      </c>
      <c r="D325" s="89" t="s">
        <v>613</v>
      </c>
      <c r="E325" s="90"/>
      <c r="F325" s="33" t="s">
        <v>4</v>
      </c>
      <c r="G325" s="33" t="s">
        <v>4</v>
      </c>
      <c r="H325" s="33" t="s">
        <v>4</v>
      </c>
      <c r="I325" s="33" t="s">
        <v>4</v>
      </c>
      <c r="J325" s="1">
        <f>SUM(J326:J332)</f>
        <v>0</v>
      </c>
      <c r="K325" s="1">
        <f>SUM(K326:K332)</f>
        <v>0</v>
      </c>
      <c r="L325" s="1">
        <f>SUM(L326:L332)</f>
        <v>0</v>
      </c>
      <c r="M325" s="1">
        <f>SUM(M326:M332)</f>
        <v>0</v>
      </c>
      <c r="N325" s="12" t="s">
        <v>56</v>
      </c>
      <c r="O325" s="1">
        <f>SUM(O326:O332)</f>
        <v>0</v>
      </c>
      <c r="P325" s="34" t="s">
        <v>56</v>
      </c>
      <c r="AI325" s="12" t="s">
        <v>438</v>
      </c>
      <c r="AS325" s="1">
        <f>SUM(AJ326:AJ332)</f>
        <v>0</v>
      </c>
      <c r="AT325" s="1">
        <f>SUM(AK326:AK332)</f>
        <v>0</v>
      </c>
      <c r="AU325" s="1">
        <f>SUM(AL326:AL332)</f>
        <v>0</v>
      </c>
    </row>
    <row r="326" spans="1:76" ht="14.6" x14ac:dyDescent="0.4">
      <c r="A326" s="2" t="s">
        <v>614</v>
      </c>
      <c r="B326" s="3" t="s">
        <v>438</v>
      </c>
      <c r="C326" s="3" t="s">
        <v>615</v>
      </c>
      <c r="D326" s="84" t="s">
        <v>616</v>
      </c>
      <c r="E326" s="85"/>
      <c r="F326" s="3" t="s">
        <v>617</v>
      </c>
      <c r="G326" s="35">
        <v>10</v>
      </c>
      <c r="H326" s="82"/>
      <c r="I326" s="36" t="s">
        <v>65</v>
      </c>
      <c r="J326" s="35">
        <f>G326*AO326</f>
        <v>0</v>
      </c>
      <c r="K326" s="35">
        <f>G326*AP326</f>
        <v>0</v>
      </c>
      <c r="L326" s="35">
        <f>G326*H326</f>
        <v>0</v>
      </c>
      <c r="M326" s="35">
        <f>L326*(1+BW326/100)</f>
        <v>0</v>
      </c>
      <c r="N326" s="35">
        <v>0</v>
      </c>
      <c r="O326" s="35">
        <f>G326*N326</f>
        <v>0</v>
      </c>
      <c r="P326" s="37" t="s">
        <v>66</v>
      </c>
      <c r="Z326" s="35">
        <f>IF(AQ326="5",BJ326,0)</f>
        <v>0</v>
      </c>
      <c r="AB326" s="35">
        <f>IF(AQ326="1",BH326,0)</f>
        <v>0</v>
      </c>
      <c r="AC326" s="35">
        <f>IF(AQ326="1",BI326,0)</f>
        <v>0</v>
      </c>
      <c r="AD326" s="35">
        <f>IF(AQ326="7",BH326,0)</f>
        <v>0</v>
      </c>
      <c r="AE326" s="35">
        <f>IF(AQ326="7",BI326,0)</f>
        <v>0</v>
      </c>
      <c r="AF326" s="35">
        <f>IF(AQ326="2",BH326,0)</f>
        <v>0</v>
      </c>
      <c r="AG326" s="35">
        <f>IF(AQ326="2",BI326,0)</f>
        <v>0</v>
      </c>
      <c r="AH326" s="35">
        <f>IF(AQ326="0",BJ326,0)</f>
        <v>0</v>
      </c>
      <c r="AI326" s="12" t="s">
        <v>438</v>
      </c>
      <c r="AJ326" s="35">
        <f>IF(AN326=0,L326,0)</f>
        <v>0</v>
      </c>
      <c r="AK326" s="35">
        <f>IF(AN326=12,L326,0)</f>
        <v>0</v>
      </c>
      <c r="AL326" s="35">
        <f>IF(AN326=21,L326,0)</f>
        <v>0</v>
      </c>
      <c r="AN326" s="35">
        <v>21</v>
      </c>
      <c r="AO326" s="35">
        <f>H326*0</f>
        <v>0</v>
      </c>
      <c r="AP326" s="35">
        <f>H326*(1-0)</f>
        <v>0</v>
      </c>
      <c r="AQ326" s="36" t="s">
        <v>71</v>
      </c>
      <c r="AV326" s="35">
        <f>AW326+AX326</f>
        <v>0</v>
      </c>
      <c r="AW326" s="35">
        <f>G326*AO326</f>
        <v>0</v>
      </c>
      <c r="AX326" s="35">
        <f>G326*AP326</f>
        <v>0</v>
      </c>
      <c r="AY326" s="36" t="s">
        <v>618</v>
      </c>
      <c r="AZ326" s="36" t="s">
        <v>454</v>
      </c>
      <c r="BA326" s="12" t="s">
        <v>442</v>
      </c>
      <c r="BC326" s="35">
        <f>AW326+AX326</f>
        <v>0</v>
      </c>
      <c r="BD326" s="35">
        <f>H326/(100-BE326)*100</f>
        <v>0</v>
      </c>
      <c r="BE326" s="35">
        <v>0</v>
      </c>
      <c r="BF326" s="35">
        <f>O326</f>
        <v>0</v>
      </c>
      <c r="BH326" s="35">
        <f>G326*AO326</f>
        <v>0</v>
      </c>
      <c r="BI326" s="35">
        <f>G326*AP326</f>
        <v>0</v>
      </c>
      <c r="BJ326" s="35">
        <f>G326*H326</f>
        <v>0</v>
      </c>
      <c r="BK326" s="35"/>
      <c r="BL326" s="35"/>
      <c r="BW326" s="35" t="str">
        <f>I326</f>
        <v>21</v>
      </c>
      <c r="BX326" s="4" t="s">
        <v>616</v>
      </c>
    </row>
    <row r="327" spans="1:76" ht="13.5" customHeight="1" x14ac:dyDescent="0.4">
      <c r="A327" s="38"/>
      <c r="C327" s="43" t="s">
        <v>82</v>
      </c>
      <c r="D327" s="94" t="s">
        <v>619</v>
      </c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6"/>
    </row>
    <row r="328" spans="1:76" ht="14.6" x14ac:dyDescent="0.4">
      <c r="A328" s="2" t="s">
        <v>620</v>
      </c>
      <c r="B328" s="3" t="s">
        <v>438</v>
      </c>
      <c r="C328" s="3" t="s">
        <v>621</v>
      </c>
      <c r="D328" s="84" t="s">
        <v>622</v>
      </c>
      <c r="E328" s="85"/>
      <c r="F328" s="3" t="s">
        <v>515</v>
      </c>
      <c r="G328" s="35">
        <v>120</v>
      </c>
      <c r="H328" s="82"/>
      <c r="I328" s="36" t="s">
        <v>65</v>
      </c>
      <c r="J328" s="35">
        <f>G328*AO328</f>
        <v>0</v>
      </c>
      <c r="K328" s="35">
        <f>G328*AP328</f>
        <v>0</v>
      </c>
      <c r="L328" s="35">
        <f>G328*H328</f>
        <v>0</v>
      </c>
      <c r="M328" s="35">
        <f>L328*(1+BW328/100)</f>
        <v>0</v>
      </c>
      <c r="N328" s="35">
        <v>0</v>
      </c>
      <c r="O328" s="35">
        <f>G328*N328</f>
        <v>0</v>
      </c>
      <c r="P328" s="37" t="s">
        <v>66</v>
      </c>
      <c r="Z328" s="35">
        <f>IF(AQ328="5",BJ328,0)</f>
        <v>0</v>
      </c>
      <c r="AB328" s="35">
        <f>IF(AQ328="1",BH328,0)</f>
        <v>0</v>
      </c>
      <c r="AC328" s="35">
        <f>IF(AQ328="1",BI328,0)</f>
        <v>0</v>
      </c>
      <c r="AD328" s="35">
        <f>IF(AQ328="7",BH328,0)</f>
        <v>0</v>
      </c>
      <c r="AE328" s="35">
        <f>IF(AQ328="7",BI328,0)</f>
        <v>0</v>
      </c>
      <c r="AF328" s="35">
        <f>IF(AQ328="2",BH328,0)</f>
        <v>0</v>
      </c>
      <c r="AG328" s="35">
        <f>IF(AQ328="2",BI328,0)</f>
        <v>0</v>
      </c>
      <c r="AH328" s="35">
        <f>IF(AQ328="0",BJ328,0)</f>
        <v>0</v>
      </c>
      <c r="AI328" s="12" t="s">
        <v>438</v>
      </c>
      <c r="AJ328" s="35">
        <f>IF(AN328=0,L328,0)</f>
        <v>0</v>
      </c>
      <c r="AK328" s="35">
        <f>IF(AN328=12,L328,0)</f>
        <v>0</v>
      </c>
      <c r="AL328" s="35">
        <f>IF(AN328=21,L328,0)</f>
        <v>0</v>
      </c>
      <c r="AN328" s="35">
        <v>21</v>
      </c>
      <c r="AO328" s="35">
        <f>H328*0</f>
        <v>0</v>
      </c>
      <c r="AP328" s="35">
        <f>H328*(1-0)</f>
        <v>0</v>
      </c>
      <c r="AQ328" s="36" t="s">
        <v>71</v>
      </c>
      <c r="AV328" s="35">
        <f>AW328+AX328</f>
        <v>0</v>
      </c>
      <c r="AW328" s="35">
        <f>G328*AO328</f>
        <v>0</v>
      </c>
      <c r="AX328" s="35">
        <f>G328*AP328</f>
        <v>0</v>
      </c>
      <c r="AY328" s="36" t="s">
        <v>618</v>
      </c>
      <c r="AZ328" s="36" t="s">
        <v>454</v>
      </c>
      <c r="BA328" s="12" t="s">
        <v>442</v>
      </c>
      <c r="BC328" s="35">
        <f>AW328+AX328</f>
        <v>0</v>
      </c>
      <c r="BD328" s="35">
        <f>H328/(100-BE328)*100</f>
        <v>0</v>
      </c>
      <c r="BE328" s="35">
        <v>0</v>
      </c>
      <c r="BF328" s="35">
        <f>O328</f>
        <v>0</v>
      </c>
      <c r="BH328" s="35">
        <f>G328*AO328</f>
        <v>0</v>
      </c>
      <c r="BI328" s="35">
        <f>G328*AP328</f>
        <v>0</v>
      </c>
      <c r="BJ328" s="35">
        <f>G328*H328</f>
        <v>0</v>
      </c>
      <c r="BK328" s="35"/>
      <c r="BL328" s="35"/>
      <c r="BW328" s="35" t="str">
        <f>I328</f>
        <v>21</v>
      </c>
      <c r="BX328" s="4" t="s">
        <v>622</v>
      </c>
    </row>
    <row r="329" spans="1:76" ht="14.6" x14ac:dyDescent="0.4">
      <c r="A329" s="2" t="s">
        <v>623</v>
      </c>
      <c r="B329" s="3" t="s">
        <v>438</v>
      </c>
      <c r="C329" s="3" t="s">
        <v>624</v>
      </c>
      <c r="D329" s="84" t="s">
        <v>625</v>
      </c>
      <c r="E329" s="85"/>
      <c r="F329" s="3" t="s">
        <v>617</v>
      </c>
      <c r="G329" s="35">
        <v>5</v>
      </c>
      <c r="H329" s="82"/>
      <c r="I329" s="36" t="s">
        <v>65</v>
      </c>
      <c r="J329" s="35">
        <f>G329*AO329</f>
        <v>0</v>
      </c>
      <c r="K329" s="35">
        <f>G329*AP329</f>
        <v>0</v>
      </c>
      <c r="L329" s="35">
        <f>G329*H329</f>
        <v>0</v>
      </c>
      <c r="M329" s="35">
        <f>L329*(1+BW329/100)</f>
        <v>0</v>
      </c>
      <c r="N329" s="35">
        <v>0</v>
      </c>
      <c r="O329" s="35">
        <f>G329*N329</f>
        <v>0</v>
      </c>
      <c r="P329" s="37" t="s">
        <v>66</v>
      </c>
      <c r="Z329" s="35">
        <f>IF(AQ329="5",BJ329,0)</f>
        <v>0</v>
      </c>
      <c r="AB329" s="35">
        <f>IF(AQ329="1",BH329,0)</f>
        <v>0</v>
      </c>
      <c r="AC329" s="35">
        <f>IF(AQ329="1",BI329,0)</f>
        <v>0</v>
      </c>
      <c r="AD329" s="35">
        <f>IF(AQ329="7",BH329,0)</f>
        <v>0</v>
      </c>
      <c r="AE329" s="35">
        <f>IF(AQ329="7",BI329,0)</f>
        <v>0</v>
      </c>
      <c r="AF329" s="35">
        <f>IF(AQ329="2",BH329,0)</f>
        <v>0</v>
      </c>
      <c r="AG329" s="35">
        <f>IF(AQ329="2",BI329,0)</f>
        <v>0</v>
      </c>
      <c r="AH329" s="35">
        <f>IF(AQ329="0",BJ329,0)</f>
        <v>0</v>
      </c>
      <c r="AI329" s="12" t="s">
        <v>438</v>
      </c>
      <c r="AJ329" s="35">
        <f>IF(AN329=0,L329,0)</f>
        <v>0</v>
      </c>
      <c r="AK329" s="35">
        <f>IF(AN329=12,L329,0)</f>
        <v>0</v>
      </c>
      <c r="AL329" s="35">
        <f>IF(AN329=21,L329,0)</f>
        <v>0</v>
      </c>
      <c r="AN329" s="35">
        <v>21</v>
      </c>
      <c r="AO329" s="35">
        <f>H329*0</f>
        <v>0</v>
      </c>
      <c r="AP329" s="35">
        <f>H329*(1-0)</f>
        <v>0</v>
      </c>
      <c r="AQ329" s="36" t="s">
        <v>71</v>
      </c>
      <c r="AV329" s="35">
        <f>AW329+AX329</f>
        <v>0</v>
      </c>
      <c r="AW329" s="35">
        <f>G329*AO329</f>
        <v>0</v>
      </c>
      <c r="AX329" s="35">
        <f>G329*AP329</f>
        <v>0</v>
      </c>
      <c r="AY329" s="36" t="s">
        <v>618</v>
      </c>
      <c r="AZ329" s="36" t="s">
        <v>454</v>
      </c>
      <c r="BA329" s="12" t="s">
        <v>442</v>
      </c>
      <c r="BC329" s="35">
        <f>AW329+AX329</f>
        <v>0</v>
      </c>
      <c r="BD329" s="35">
        <f>H329/(100-BE329)*100</f>
        <v>0</v>
      </c>
      <c r="BE329" s="35">
        <v>0</v>
      </c>
      <c r="BF329" s="35">
        <f>O329</f>
        <v>0</v>
      </c>
      <c r="BH329" s="35">
        <f>G329*AO329</f>
        <v>0</v>
      </c>
      <c r="BI329" s="35">
        <f>G329*AP329</f>
        <v>0</v>
      </c>
      <c r="BJ329" s="35">
        <f>G329*H329</f>
        <v>0</v>
      </c>
      <c r="BK329" s="35"/>
      <c r="BL329" s="35"/>
      <c r="BW329" s="35" t="str">
        <f>I329</f>
        <v>21</v>
      </c>
      <c r="BX329" s="4" t="s">
        <v>625</v>
      </c>
    </row>
    <row r="330" spans="1:76" ht="13.5" customHeight="1" x14ac:dyDescent="0.4">
      <c r="A330" s="38"/>
      <c r="C330" s="44" t="s">
        <v>85</v>
      </c>
      <c r="D330" s="86" t="s">
        <v>626</v>
      </c>
      <c r="E330" s="87"/>
      <c r="F330" s="87"/>
      <c r="G330" s="87"/>
      <c r="H330" s="87"/>
      <c r="I330" s="87"/>
      <c r="J330" s="87"/>
      <c r="K330" s="87"/>
      <c r="L330" s="87"/>
      <c r="M330" s="87"/>
      <c r="N330" s="87"/>
      <c r="O330" s="87"/>
      <c r="P330" s="88"/>
    </row>
    <row r="331" spans="1:76" ht="14.6" x14ac:dyDescent="0.4">
      <c r="A331" s="2" t="s">
        <v>627</v>
      </c>
      <c r="B331" s="3" t="s">
        <v>438</v>
      </c>
      <c r="C331" s="3" t="s">
        <v>628</v>
      </c>
      <c r="D331" s="84" t="s">
        <v>629</v>
      </c>
      <c r="E331" s="85"/>
      <c r="F331" s="3" t="s">
        <v>515</v>
      </c>
      <c r="G331" s="35">
        <v>120</v>
      </c>
      <c r="H331" s="82"/>
      <c r="I331" s="36" t="s">
        <v>65</v>
      </c>
      <c r="J331" s="35">
        <f>G331*AO331</f>
        <v>0</v>
      </c>
      <c r="K331" s="35">
        <f>G331*AP331</f>
        <v>0</v>
      </c>
      <c r="L331" s="35">
        <f>G331*H331</f>
        <v>0</v>
      </c>
      <c r="M331" s="35">
        <f>L331*(1+BW331/100)</f>
        <v>0</v>
      </c>
      <c r="N331" s="35">
        <v>0</v>
      </c>
      <c r="O331" s="35">
        <f>G331*N331</f>
        <v>0</v>
      </c>
      <c r="P331" s="37" t="s">
        <v>66</v>
      </c>
      <c r="Z331" s="35">
        <f>IF(AQ331="5",BJ331,0)</f>
        <v>0</v>
      </c>
      <c r="AB331" s="35">
        <f>IF(AQ331="1",BH331,0)</f>
        <v>0</v>
      </c>
      <c r="AC331" s="35">
        <f>IF(AQ331="1",BI331,0)</f>
        <v>0</v>
      </c>
      <c r="AD331" s="35">
        <f>IF(AQ331="7",BH331,0)</f>
        <v>0</v>
      </c>
      <c r="AE331" s="35">
        <f>IF(AQ331="7",BI331,0)</f>
        <v>0</v>
      </c>
      <c r="AF331" s="35">
        <f>IF(AQ331="2",BH331,0)</f>
        <v>0</v>
      </c>
      <c r="AG331" s="35">
        <f>IF(AQ331="2",BI331,0)</f>
        <v>0</v>
      </c>
      <c r="AH331" s="35">
        <f>IF(AQ331="0",BJ331,0)</f>
        <v>0</v>
      </c>
      <c r="AI331" s="12" t="s">
        <v>438</v>
      </c>
      <c r="AJ331" s="35">
        <f>IF(AN331=0,L331,0)</f>
        <v>0</v>
      </c>
      <c r="AK331" s="35">
        <f>IF(AN331=12,L331,0)</f>
        <v>0</v>
      </c>
      <c r="AL331" s="35">
        <f>IF(AN331=21,L331,0)</f>
        <v>0</v>
      </c>
      <c r="AN331" s="35">
        <v>21</v>
      </c>
      <c r="AO331" s="35">
        <f>H331*0</f>
        <v>0</v>
      </c>
      <c r="AP331" s="35">
        <f>H331*(1-0)</f>
        <v>0</v>
      </c>
      <c r="AQ331" s="36" t="s">
        <v>71</v>
      </c>
      <c r="AV331" s="35">
        <f>AW331+AX331</f>
        <v>0</v>
      </c>
      <c r="AW331" s="35">
        <f>G331*AO331</f>
        <v>0</v>
      </c>
      <c r="AX331" s="35">
        <f>G331*AP331</f>
        <v>0</v>
      </c>
      <c r="AY331" s="36" t="s">
        <v>618</v>
      </c>
      <c r="AZ331" s="36" t="s">
        <v>454</v>
      </c>
      <c r="BA331" s="12" t="s">
        <v>442</v>
      </c>
      <c r="BC331" s="35">
        <f>AW331+AX331</f>
        <v>0</v>
      </c>
      <c r="BD331" s="35">
        <f>H331/(100-BE331)*100</f>
        <v>0</v>
      </c>
      <c r="BE331" s="35">
        <v>0</v>
      </c>
      <c r="BF331" s="35">
        <f>O331</f>
        <v>0</v>
      </c>
      <c r="BH331" s="35">
        <f>G331*AO331</f>
        <v>0</v>
      </c>
      <c r="BI331" s="35">
        <f>G331*AP331</f>
        <v>0</v>
      </c>
      <c r="BJ331" s="35">
        <f>G331*H331</f>
        <v>0</v>
      </c>
      <c r="BK331" s="35"/>
      <c r="BL331" s="35"/>
      <c r="BW331" s="35" t="str">
        <f>I331</f>
        <v>21</v>
      </c>
      <c r="BX331" s="4" t="s">
        <v>629</v>
      </c>
    </row>
    <row r="332" spans="1:76" ht="14.6" x14ac:dyDescent="0.4">
      <c r="A332" s="2" t="s">
        <v>630</v>
      </c>
      <c r="B332" s="3" t="s">
        <v>438</v>
      </c>
      <c r="C332" s="3" t="s">
        <v>631</v>
      </c>
      <c r="D332" s="84" t="s">
        <v>632</v>
      </c>
      <c r="E332" s="85"/>
      <c r="F332" s="3" t="s">
        <v>133</v>
      </c>
      <c r="G332" s="35">
        <v>1</v>
      </c>
      <c r="H332" s="82"/>
      <c r="I332" s="36" t="s">
        <v>65</v>
      </c>
      <c r="J332" s="35">
        <f>G332*AO332</f>
        <v>0</v>
      </c>
      <c r="K332" s="35">
        <f>G332*AP332</f>
        <v>0</v>
      </c>
      <c r="L332" s="35">
        <f>G332*H332</f>
        <v>0</v>
      </c>
      <c r="M332" s="35">
        <f>L332*(1+BW332/100)</f>
        <v>0</v>
      </c>
      <c r="N332" s="35">
        <v>0</v>
      </c>
      <c r="O332" s="35">
        <f>G332*N332</f>
        <v>0</v>
      </c>
      <c r="P332" s="37" t="s">
        <v>66</v>
      </c>
      <c r="Z332" s="35">
        <f>IF(AQ332="5",BJ332,0)</f>
        <v>0</v>
      </c>
      <c r="AB332" s="35">
        <f>IF(AQ332="1",BH332,0)</f>
        <v>0</v>
      </c>
      <c r="AC332" s="35">
        <f>IF(AQ332="1",BI332,0)</f>
        <v>0</v>
      </c>
      <c r="AD332" s="35">
        <f>IF(AQ332="7",BH332,0)</f>
        <v>0</v>
      </c>
      <c r="AE332" s="35">
        <f>IF(AQ332="7",BI332,0)</f>
        <v>0</v>
      </c>
      <c r="AF332" s="35">
        <f>IF(AQ332="2",BH332,0)</f>
        <v>0</v>
      </c>
      <c r="AG332" s="35">
        <f>IF(AQ332="2",BI332,0)</f>
        <v>0</v>
      </c>
      <c r="AH332" s="35">
        <f>IF(AQ332="0",BJ332,0)</f>
        <v>0</v>
      </c>
      <c r="AI332" s="12" t="s">
        <v>438</v>
      </c>
      <c r="AJ332" s="35">
        <f>IF(AN332=0,L332,0)</f>
        <v>0</v>
      </c>
      <c r="AK332" s="35">
        <f>IF(AN332=12,L332,0)</f>
        <v>0</v>
      </c>
      <c r="AL332" s="35">
        <f>IF(AN332=21,L332,0)</f>
        <v>0</v>
      </c>
      <c r="AN332" s="35">
        <v>21</v>
      </c>
      <c r="AO332" s="35">
        <f>H332*0</f>
        <v>0</v>
      </c>
      <c r="AP332" s="35">
        <f>H332*(1-0)</f>
        <v>0</v>
      </c>
      <c r="AQ332" s="36" t="s">
        <v>71</v>
      </c>
      <c r="AV332" s="35">
        <f>AW332+AX332</f>
        <v>0</v>
      </c>
      <c r="AW332" s="35">
        <f>G332*AO332</f>
        <v>0</v>
      </c>
      <c r="AX332" s="35">
        <f>G332*AP332</f>
        <v>0</v>
      </c>
      <c r="AY332" s="36" t="s">
        <v>618</v>
      </c>
      <c r="AZ332" s="36" t="s">
        <v>454</v>
      </c>
      <c r="BA332" s="12" t="s">
        <v>442</v>
      </c>
      <c r="BC332" s="35">
        <f>AW332+AX332</f>
        <v>0</v>
      </c>
      <c r="BD332" s="35">
        <f>H332/(100-BE332)*100</f>
        <v>0</v>
      </c>
      <c r="BE332" s="35">
        <v>0</v>
      </c>
      <c r="BF332" s="35">
        <f>O332</f>
        <v>0</v>
      </c>
      <c r="BH332" s="35">
        <f>G332*AO332</f>
        <v>0</v>
      </c>
      <c r="BI332" s="35">
        <f>G332*AP332</f>
        <v>0</v>
      </c>
      <c r="BJ332" s="35">
        <f>G332*H332</f>
        <v>0</v>
      </c>
      <c r="BK332" s="35"/>
      <c r="BL332" s="35"/>
      <c r="BW332" s="35" t="str">
        <f>I332</f>
        <v>21</v>
      </c>
      <c r="BX332" s="4" t="s">
        <v>632</v>
      </c>
    </row>
    <row r="333" spans="1:76" ht="13.5" customHeight="1" x14ac:dyDescent="0.4">
      <c r="A333" s="38"/>
      <c r="C333" s="44" t="s">
        <v>85</v>
      </c>
      <c r="D333" s="86" t="s">
        <v>633</v>
      </c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8"/>
    </row>
    <row r="334" spans="1:76" ht="14.6" x14ac:dyDescent="0.4">
      <c r="A334" s="31" t="s">
        <v>56</v>
      </c>
      <c r="B334" s="32" t="s">
        <v>438</v>
      </c>
      <c r="C334" s="32" t="s">
        <v>351</v>
      </c>
      <c r="D334" s="89" t="s">
        <v>352</v>
      </c>
      <c r="E334" s="90"/>
      <c r="F334" s="33" t="s">
        <v>4</v>
      </c>
      <c r="G334" s="33" t="s">
        <v>4</v>
      </c>
      <c r="H334" s="33" t="s">
        <v>4</v>
      </c>
      <c r="I334" s="33" t="s">
        <v>4</v>
      </c>
      <c r="J334" s="1">
        <f>SUM(J335:J335)</f>
        <v>0</v>
      </c>
      <c r="K334" s="1">
        <f>SUM(K335:K335)</f>
        <v>0</v>
      </c>
      <c r="L334" s="1">
        <f>SUM(L335:L335)</f>
        <v>0</v>
      </c>
      <c r="M334" s="1">
        <f>SUM(M335:M335)</f>
        <v>0</v>
      </c>
      <c r="N334" s="12" t="s">
        <v>56</v>
      </c>
      <c r="O334" s="1">
        <f>SUM(O335:O335)</f>
        <v>6.1844999999999997E-2</v>
      </c>
      <c r="P334" s="34" t="s">
        <v>56</v>
      </c>
      <c r="AI334" s="12" t="s">
        <v>438</v>
      </c>
      <c r="AS334" s="1">
        <f>SUM(AJ335:AJ335)</f>
        <v>0</v>
      </c>
      <c r="AT334" s="1">
        <f>SUM(AK335:AK335)</f>
        <v>0</v>
      </c>
      <c r="AU334" s="1">
        <f>SUM(AL335:AL335)</f>
        <v>0</v>
      </c>
    </row>
    <row r="335" spans="1:76" ht="14.6" x14ac:dyDescent="0.4">
      <c r="A335" s="2" t="s">
        <v>634</v>
      </c>
      <c r="B335" s="3" t="s">
        <v>438</v>
      </c>
      <c r="C335" s="3" t="s">
        <v>635</v>
      </c>
      <c r="D335" s="84" t="s">
        <v>636</v>
      </c>
      <c r="E335" s="85"/>
      <c r="F335" s="3" t="s">
        <v>98</v>
      </c>
      <c r="G335" s="35">
        <v>199.5</v>
      </c>
      <c r="H335" s="82"/>
      <c r="I335" s="36" t="s">
        <v>65</v>
      </c>
      <c r="J335" s="35">
        <f>G335*AO335</f>
        <v>0</v>
      </c>
      <c r="K335" s="35">
        <f>G335*AP335</f>
        <v>0</v>
      </c>
      <c r="L335" s="35">
        <f>G335*H335</f>
        <v>0</v>
      </c>
      <c r="M335" s="35">
        <f>L335*(1+BW335/100)</f>
        <v>0</v>
      </c>
      <c r="N335" s="35">
        <v>3.1E-4</v>
      </c>
      <c r="O335" s="35">
        <f>G335*N335</f>
        <v>6.1844999999999997E-2</v>
      </c>
      <c r="P335" s="37" t="s">
        <v>66</v>
      </c>
      <c r="Z335" s="35">
        <f>IF(AQ335="5",BJ335,0)</f>
        <v>0</v>
      </c>
      <c r="AB335" s="35">
        <f>IF(AQ335="1",BH335,0)</f>
        <v>0</v>
      </c>
      <c r="AC335" s="35">
        <f>IF(AQ335="1",BI335,0)</f>
        <v>0</v>
      </c>
      <c r="AD335" s="35">
        <f>IF(AQ335="7",BH335,0)</f>
        <v>0</v>
      </c>
      <c r="AE335" s="35">
        <f>IF(AQ335="7",BI335,0)</f>
        <v>0</v>
      </c>
      <c r="AF335" s="35">
        <f>IF(AQ335="2",BH335,0)</f>
        <v>0</v>
      </c>
      <c r="AG335" s="35">
        <f>IF(AQ335="2",BI335,0)</f>
        <v>0</v>
      </c>
      <c r="AH335" s="35">
        <f>IF(AQ335="0",BJ335,0)</f>
        <v>0</v>
      </c>
      <c r="AI335" s="12" t="s">
        <v>438</v>
      </c>
      <c r="AJ335" s="35">
        <f>IF(AN335=0,L335,0)</f>
        <v>0</v>
      </c>
      <c r="AK335" s="35">
        <f>IF(AN335=12,L335,0)</f>
        <v>0</v>
      </c>
      <c r="AL335" s="35">
        <f>IF(AN335=21,L335,0)</f>
        <v>0</v>
      </c>
      <c r="AN335" s="35">
        <v>21</v>
      </c>
      <c r="AO335" s="35">
        <f>H335*1</f>
        <v>0</v>
      </c>
      <c r="AP335" s="35">
        <f>H335*(1-1)</f>
        <v>0</v>
      </c>
      <c r="AQ335" s="36" t="s">
        <v>357</v>
      </c>
      <c r="AV335" s="35">
        <f>AW335+AX335</f>
        <v>0</v>
      </c>
      <c r="AW335" s="35">
        <f>G335*AO335</f>
        <v>0</v>
      </c>
      <c r="AX335" s="35">
        <f>G335*AP335</f>
        <v>0</v>
      </c>
      <c r="AY335" s="36" t="s">
        <v>358</v>
      </c>
      <c r="AZ335" s="36" t="s">
        <v>637</v>
      </c>
      <c r="BA335" s="12" t="s">
        <v>442</v>
      </c>
      <c r="BC335" s="35">
        <f>AW335+AX335</f>
        <v>0</v>
      </c>
      <c r="BD335" s="35">
        <f>H335/(100-BE335)*100</f>
        <v>0</v>
      </c>
      <c r="BE335" s="35">
        <v>0</v>
      </c>
      <c r="BF335" s="35">
        <f>O335</f>
        <v>6.1844999999999997E-2</v>
      </c>
      <c r="BH335" s="35">
        <f>G335*AO335</f>
        <v>0</v>
      </c>
      <c r="BI335" s="35">
        <f>G335*AP335</f>
        <v>0</v>
      </c>
      <c r="BJ335" s="35">
        <f>G335*H335</f>
        <v>0</v>
      </c>
      <c r="BK335" s="35"/>
      <c r="BL335" s="35"/>
      <c r="BW335" s="35" t="str">
        <f>I335</f>
        <v>21</v>
      </c>
      <c r="BX335" s="4" t="s">
        <v>636</v>
      </c>
    </row>
    <row r="336" spans="1:76" ht="14.6" x14ac:dyDescent="0.4">
      <c r="A336" s="38"/>
      <c r="D336" s="39" t="s">
        <v>638</v>
      </c>
      <c r="E336" s="40" t="s">
        <v>56</v>
      </c>
      <c r="G336" s="41">
        <v>190</v>
      </c>
      <c r="P336" s="42"/>
    </row>
    <row r="337" spans="1:76" ht="14.6" x14ac:dyDescent="0.4">
      <c r="A337" s="38"/>
      <c r="D337" s="39" t="s">
        <v>639</v>
      </c>
      <c r="E337" s="40" t="s">
        <v>56</v>
      </c>
      <c r="G337" s="41">
        <v>9.5</v>
      </c>
      <c r="P337" s="42"/>
    </row>
    <row r="338" spans="1:76" ht="14.6" x14ac:dyDescent="0.4">
      <c r="A338" s="31" t="s">
        <v>56</v>
      </c>
      <c r="B338" s="32" t="s">
        <v>640</v>
      </c>
      <c r="C338" s="32" t="s">
        <v>56</v>
      </c>
      <c r="D338" s="89" t="s">
        <v>641</v>
      </c>
      <c r="E338" s="90"/>
      <c r="F338" s="33" t="s">
        <v>4</v>
      </c>
      <c r="G338" s="33" t="s">
        <v>4</v>
      </c>
      <c r="H338" s="33" t="s">
        <v>4</v>
      </c>
      <c r="I338" s="33" t="s">
        <v>4</v>
      </c>
      <c r="J338" s="1">
        <f>J339</f>
        <v>0</v>
      </c>
      <c r="K338" s="1">
        <f>K339</f>
        <v>0</v>
      </c>
      <c r="L338" s="1">
        <f>L339</f>
        <v>0</v>
      </c>
      <c r="M338" s="1">
        <f>M339</f>
        <v>0</v>
      </c>
      <c r="N338" s="12" t="s">
        <v>56</v>
      </c>
      <c r="O338" s="1">
        <f>O339</f>
        <v>0</v>
      </c>
      <c r="P338" s="34" t="s">
        <v>56</v>
      </c>
    </row>
    <row r="339" spans="1:76" ht="14.6" x14ac:dyDescent="0.4">
      <c r="A339" s="31" t="s">
        <v>56</v>
      </c>
      <c r="B339" s="32" t="s">
        <v>640</v>
      </c>
      <c r="C339" s="32" t="s">
        <v>642</v>
      </c>
      <c r="D339" s="89" t="s">
        <v>643</v>
      </c>
      <c r="E339" s="90"/>
      <c r="F339" s="33" t="s">
        <v>4</v>
      </c>
      <c r="G339" s="33" t="s">
        <v>4</v>
      </c>
      <c r="H339" s="33" t="s">
        <v>4</v>
      </c>
      <c r="I339" s="33" t="s">
        <v>4</v>
      </c>
      <c r="J339" s="1">
        <f>SUM(J340:J362)</f>
        <v>0</v>
      </c>
      <c r="K339" s="1">
        <f>SUM(K340:K362)</f>
        <v>0</v>
      </c>
      <c r="L339" s="1">
        <f>SUM(L340:L362)</f>
        <v>0</v>
      </c>
      <c r="M339" s="1">
        <f>SUM(M340:M362)</f>
        <v>0</v>
      </c>
      <c r="N339" s="12" t="s">
        <v>56</v>
      </c>
      <c r="O339" s="1">
        <f>SUM(O340:O362)</f>
        <v>0</v>
      </c>
      <c r="P339" s="34" t="s">
        <v>56</v>
      </c>
      <c r="AI339" s="12" t="s">
        <v>640</v>
      </c>
      <c r="AS339" s="1">
        <f>SUM(AJ340:AJ362)</f>
        <v>0</v>
      </c>
      <c r="AT339" s="1">
        <f>SUM(AK340:AK362)</f>
        <v>0</v>
      </c>
      <c r="AU339" s="1">
        <f>SUM(AL340:AL362)</f>
        <v>0</v>
      </c>
    </row>
    <row r="340" spans="1:76" ht="14.6" x14ac:dyDescent="0.4">
      <c r="A340" s="2" t="s">
        <v>644</v>
      </c>
      <c r="B340" s="3" t="s">
        <v>640</v>
      </c>
      <c r="C340" s="3" t="s">
        <v>645</v>
      </c>
      <c r="D340" s="84" t="s">
        <v>646</v>
      </c>
      <c r="E340" s="85"/>
      <c r="F340" s="3" t="s">
        <v>647</v>
      </c>
      <c r="G340" s="35">
        <v>1</v>
      </c>
      <c r="H340" s="82"/>
      <c r="I340" s="36" t="s">
        <v>65</v>
      </c>
      <c r="J340" s="35">
        <f>G340*AO340</f>
        <v>0</v>
      </c>
      <c r="K340" s="35">
        <f>G340*AP340</f>
        <v>0</v>
      </c>
      <c r="L340" s="35">
        <f>G340*H340</f>
        <v>0</v>
      </c>
      <c r="M340" s="35">
        <f>L340*(1+BW340/100)</f>
        <v>0</v>
      </c>
      <c r="N340" s="35">
        <v>0</v>
      </c>
      <c r="O340" s="35">
        <f>G340*N340</f>
        <v>0</v>
      </c>
      <c r="P340" s="37" t="s">
        <v>66</v>
      </c>
      <c r="Z340" s="35">
        <f>IF(AQ340="5",BJ340,0)</f>
        <v>0</v>
      </c>
      <c r="AB340" s="35">
        <f>IF(AQ340="1",BH340,0)</f>
        <v>0</v>
      </c>
      <c r="AC340" s="35">
        <f>IF(AQ340="1",BI340,0)</f>
        <v>0</v>
      </c>
      <c r="AD340" s="35">
        <f>IF(AQ340="7",BH340,0)</f>
        <v>0</v>
      </c>
      <c r="AE340" s="35">
        <f>IF(AQ340="7",BI340,0)</f>
        <v>0</v>
      </c>
      <c r="AF340" s="35">
        <f>IF(AQ340="2",BH340,0)</f>
        <v>0</v>
      </c>
      <c r="AG340" s="35">
        <f>IF(AQ340="2",BI340,0)</f>
        <v>0</v>
      </c>
      <c r="AH340" s="35">
        <f>IF(AQ340="0",BJ340,0)</f>
        <v>0</v>
      </c>
      <c r="AI340" s="12" t="s">
        <v>640</v>
      </c>
      <c r="AJ340" s="35">
        <f>IF(AN340=0,L340,0)</f>
        <v>0</v>
      </c>
      <c r="AK340" s="35">
        <f>IF(AN340=12,L340,0)</f>
        <v>0</v>
      </c>
      <c r="AL340" s="35">
        <f>IF(AN340=21,L340,0)</f>
        <v>0</v>
      </c>
      <c r="AN340" s="35">
        <v>21</v>
      </c>
      <c r="AO340" s="35">
        <f>H340*0</f>
        <v>0</v>
      </c>
      <c r="AP340" s="35">
        <f>H340*(1-0)</f>
        <v>0</v>
      </c>
      <c r="AQ340" s="36" t="s">
        <v>61</v>
      </c>
      <c r="AV340" s="35">
        <f>AW340+AX340</f>
        <v>0</v>
      </c>
      <c r="AW340" s="35">
        <f>G340*AO340</f>
        <v>0</v>
      </c>
      <c r="AX340" s="35">
        <f>G340*AP340</f>
        <v>0</v>
      </c>
      <c r="AY340" s="36" t="s">
        <v>648</v>
      </c>
      <c r="AZ340" s="36" t="s">
        <v>649</v>
      </c>
      <c r="BA340" s="12" t="s">
        <v>650</v>
      </c>
      <c r="BC340" s="35">
        <f>AW340+AX340</f>
        <v>0</v>
      </c>
      <c r="BD340" s="35">
        <f>H340/(100-BE340)*100</f>
        <v>0</v>
      </c>
      <c r="BE340" s="35">
        <v>0</v>
      </c>
      <c r="BF340" s="35">
        <f>O340</f>
        <v>0</v>
      </c>
      <c r="BH340" s="35">
        <f>G340*AO340</f>
        <v>0</v>
      </c>
      <c r="BI340" s="35">
        <f>G340*AP340</f>
        <v>0</v>
      </c>
      <c r="BJ340" s="35">
        <f>G340*H340</f>
        <v>0</v>
      </c>
      <c r="BK340" s="35"/>
      <c r="BL340" s="35"/>
      <c r="BW340" s="35" t="str">
        <f>I340</f>
        <v>21</v>
      </c>
      <c r="BX340" s="4" t="s">
        <v>646</v>
      </c>
    </row>
    <row r="341" spans="1:76" ht="67.5" customHeight="1" x14ac:dyDescent="0.4">
      <c r="A341" s="38"/>
      <c r="C341" s="44" t="s">
        <v>85</v>
      </c>
      <c r="D341" s="86" t="s">
        <v>651</v>
      </c>
      <c r="E341" s="87"/>
      <c r="F341" s="87"/>
      <c r="G341" s="87"/>
      <c r="H341" s="87"/>
      <c r="I341" s="87"/>
      <c r="J341" s="87"/>
      <c r="K341" s="87"/>
      <c r="L341" s="87"/>
      <c r="M341" s="87"/>
      <c r="N341" s="87"/>
      <c r="O341" s="87"/>
      <c r="P341" s="88"/>
    </row>
    <row r="342" spans="1:76" ht="14.6" x14ac:dyDescent="0.4">
      <c r="A342" s="2" t="s">
        <v>652</v>
      </c>
      <c r="B342" s="3" t="s">
        <v>640</v>
      </c>
      <c r="C342" s="3" t="s">
        <v>645</v>
      </c>
      <c r="D342" s="84" t="s">
        <v>653</v>
      </c>
      <c r="E342" s="85"/>
      <c r="F342" s="3" t="s">
        <v>647</v>
      </c>
      <c r="G342" s="35">
        <v>1</v>
      </c>
      <c r="H342" s="82"/>
      <c r="I342" s="36" t="s">
        <v>65</v>
      </c>
      <c r="J342" s="35">
        <f>G342*AO342</f>
        <v>0</v>
      </c>
      <c r="K342" s="35">
        <f>G342*AP342</f>
        <v>0</v>
      </c>
      <c r="L342" s="35">
        <f>G342*H342</f>
        <v>0</v>
      </c>
      <c r="M342" s="35">
        <f>L342*(1+BW342/100)</f>
        <v>0</v>
      </c>
      <c r="N342" s="35">
        <v>0</v>
      </c>
      <c r="O342" s="35">
        <f>G342*N342</f>
        <v>0</v>
      </c>
      <c r="P342" s="37" t="s">
        <v>66</v>
      </c>
      <c r="Z342" s="35">
        <f>IF(AQ342="5",BJ342,0)</f>
        <v>0</v>
      </c>
      <c r="AB342" s="35">
        <f>IF(AQ342="1",BH342,0)</f>
        <v>0</v>
      </c>
      <c r="AC342" s="35">
        <f>IF(AQ342="1",BI342,0)</f>
        <v>0</v>
      </c>
      <c r="AD342" s="35">
        <f>IF(AQ342="7",BH342,0)</f>
        <v>0</v>
      </c>
      <c r="AE342" s="35">
        <f>IF(AQ342="7",BI342,0)</f>
        <v>0</v>
      </c>
      <c r="AF342" s="35">
        <f>IF(AQ342="2",BH342,0)</f>
        <v>0</v>
      </c>
      <c r="AG342" s="35">
        <f>IF(AQ342="2",BI342,0)</f>
        <v>0</v>
      </c>
      <c r="AH342" s="35">
        <f>IF(AQ342="0",BJ342,0)</f>
        <v>0</v>
      </c>
      <c r="AI342" s="12" t="s">
        <v>640</v>
      </c>
      <c r="AJ342" s="35">
        <f>IF(AN342=0,L342,0)</f>
        <v>0</v>
      </c>
      <c r="AK342" s="35">
        <f>IF(AN342=12,L342,0)</f>
        <v>0</v>
      </c>
      <c r="AL342" s="35">
        <f>IF(AN342=21,L342,0)</f>
        <v>0</v>
      </c>
      <c r="AN342" s="35">
        <v>21</v>
      </c>
      <c r="AO342" s="35">
        <f>H342*0</f>
        <v>0</v>
      </c>
      <c r="AP342" s="35">
        <f>H342*(1-0)</f>
        <v>0</v>
      </c>
      <c r="AQ342" s="36" t="s">
        <v>61</v>
      </c>
      <c r="AV342" s="35">
        <f>AW342+AX342</f>
        <v>0</v>
      </c>
      <c r="AW342" s="35">
        <f>G342*AO342</f>
        <v>0</v>
      </c>
      <c r="AX342" s="35">
        <f>G342*AP342</f>
        <v>0</v>
      </c>
      <c r="AY342" s="36" t="s">
        <v>648</v>
      </c>
      <c r="AZ342" s="36" t="s">
        <v>649</v>
      </c>
      <c r="BA342" s="12" t="s">
        <v>650</v>
      </c>
      <c r="BC342" s="35">
        <f>AW342+AX342</f>
        <v>0</v>
      </c>
      <c r="BD342" s="35">
        <f>H342/(100-BE342)*100</f>
        <v>0</v>
      </c>
      <c r="BE342" s="35">
        <v>0</v>
      </c>
      <c r="BF342" s="35">
        <f>O342</f>
        <v>0</v>
      </c>
      <c r="BH342" s="35">
        <f>G342*AO342</f>
        <v>0</v>
      </c>
      <c r="BI342" s="35">
        <f>G342*AP342</f>
        <v>0</v>
      </c>
      <c r="BJ342" s="35">
        <f>G342*H342</f>
        <v>0</v>
      </c>
      <c r="BK342" s="35"/>
      <c r="BL342" s="35"/>
      <c r="BW342" s="35" t="str">
        <f>I342</f>
        <v>21</v>
      </c>
      <c r="BX342" s="4" t="s">
        <v>653</v>
      </c>
    </row>
    <row r="343" spans="1:76" ht="13.5" customHeight="1" x14ac:dyDescent="0.4">
      <c r="A343" s="38"/>
      <c r="C343" s="44" t="s">
        <v>85</v>
      </c>
      <c r="D343" s="86" t="s">
        <v>654</v>
      </c>
      <c r="E343" s="87"/>
      <c r="F343" s="87"/>
      <c r="G343" s="87"/>
      <c r="H343" s="87"/>
      <c r="I343" s="87"/>
      <c r="J343" s="87"/>
      <c r="K343" s="87"/>
      <c r="L343" s="87"/>
      <c r="M343" s="87"/>
      <c r="N343" s="87"/>
      <c r="O343" s="87"/>
      <c r="P343" s="88"/>
    </row>
    <row r="344" spans="1:76" ht="14.6" x14ac:dyDescent="0.4">
      <c r="A344" s="2" t="s">
        <v>655</v>
      </c>
      <c r="B344" s="3" t="s">
        <v>640</v>
      </c>
      <c r="C344" s="3" t="s">
        <v>645</v>
      </c>
      <c r="D344" s="84" t="s">
        <v>656</v>
      </c>
      <c r="E344" s="85"/>
      <c r="F344" s="3" t="s">
        <v>647</v>
      </c>
      <c r="G344" s="35">
        <v>1</v>
      </c>
      <c r="H344" s="82"/>
      <c r="I344" s="36" t="s">
        <v>65</v>
      </c>
      <c r="J344" s="35">
        <f>G344*AO344</f>
        <v>0</v>
      </c>
      <c r="K344" s="35">
        <f>G344*AP344</f>
        <v>0</v>
      </c>
      <c r="L344" s="35">
        <f>G344*H344</f>
        <v>0</v>
      </c>
      <c r="M344" s="35">
        <f>L344*(1+BW344/100)</f>
        <v>0</v>
      </c>
      <c r="N344" s="35">
        <v>0</v>
      </c>
      <c r="O344" s="35">
        <f>G344*N344</f>
        <v>0</v>
      </c>
      <c r="P344" s="37" t="s">
        <v>66</v>
      </c>
      <c r="Z344" s="35">
        <f>IF(AQ344="5",BJ344,0)</f>
        <v>0</v>
      </c>
      <c r="AB344" s="35">
        <f>IF(AQ344="1",BH344,0)</f>
        <v>0</v>
      </c>
      <c r="AC344" s="35">
        <f>IF(AQ344="1",BI344,0)</f>
        <v>0</v>
      </c>
      <c r="AD344" s="35">
        <f>IF(AQ344="7",BH344,0)</f>
        <v>0</v>
      </c>
      <c r="AE344" s="35">
        <f>IF(AQ344="7",BI344,0)</f>
        <v>0</v>
      </c>
      <c r="AF344" s="35">
        <f>IF(AQ344="2",BH344,0)</f>
        <v>0</v>
      </c>
      <c r="AG344" s="35">
        <f>IF(AQ344="2",BI344,0)</f>
        <v>0</v>
      </c>
      <c r="AH344" s="35">
        <f>IF(AQ344="0",BJ344,0)</f>
        <v>0</v>
      </c>
      <c r="AI344" s="12" t="s">
        <v>640</v>
      </c>
      <c r="AJ344" s="35">
        <f>IF(AN344=0,L344,0)</f>
        <v>0</v>
      </c>
      <c r="AK344" s="35">
        <f>IF(AN344=12,L344,0)</f>
        <v>0</v>
      </c>
      <c r="AL344" s="35">
        <f>IF(AN344=21,L344,0)</f>
        <v>0</v>
      </c>
      <c r="AN344" s="35">
        <v>21</v>
      </c>
      <c r="AO344" s="35">
        <f>H344*0</f>
        <v>0</v>
      </c>
      <c r="AP344" s="35">
        <f>H344*(1-0)</f>
        <v>0</v>
      </c>
      <c r="AQ344" s="36" t="s">
        <v>61</v>
      </c>
      <c r="AV344" s="35">
        <f>AW344+AX344</f>
        <v>0</v>
      </c>
      <c r="AW344" s="35">
        <f>G344*AO344</f>
        <v>0</v>
      </c>
      <c r="AX344" s="35">
        <f>G344*AP344</f>
        <v>0</v>
      </c>
      <c r="AY344" s="36" t="s">
        <v>648</v>
      </c>
      <c r="AZ344" s="36" t="s">
        <v>649</v>
      </c>
      <c r="BA344" s="12" t="s">
        <v>650</v>
      </c>
      <c r="BC344" s="35">
        <f>AW344+AX344</f>
        <v>0</v>
      </c>
      <c r="BD344" s="35">
        <f>H344/(100-BE344)*100</f>
        <v>0</v>
      </c>
      <c r="BE344" s="35">
        <v>0</v>
      </c>
      <c r="BF344" s="35">
        <f>O344</f>
        <v>0</v>
      </c>
      <c r="BH344" s="35">
        <f>G344*AO344</f>
        <v>0</v>
      </c>
      <c r="BI344" s="35">
        <f>G344*AP344</f>
        <v>0</v>
      </c>
      <c r="BJ344" s="35">
        <f>G344*H344</f>
        <v>0</v>
      </c>
      <c r="BK344" s="35"/>
      <c r="BL344" s="35"/>
      <c r="BW344" s="35" t="str">
        <f>I344</f>
        <v>21</v>
      </c>
      <c r="BX344" s="4" t="s">
        <v>656</v>
      </c>
    </row>
    <row r="345" spans="1:76" ht="40.5" customHeight="1" x14ac:dyDescent="0.4">
      <c r="A345" s="38"/>
      <c r="C345" s="44" t="s">
        <v>85</v>
      </c>
      <c r="D345" s="86" t="s">
        <v>657</v>
      </c>
      <c r="E345" s="87"/>
      <c r="F345" s="87"/>
      <c r="G345" s="87"/>
      <c r="H345" s="87"/>
      <c r="I345" s="87"/>
      <c r="J345" s="87"/>
      <c r="K345" s="87"/>
      <c r="L345" s="87"/>
      <c r="M345" s="87"/>
      <c r="N345" s="87"/>
      <c r="O345" s="87"/>
      <c r="P345" s="88"/>
    </row>
    <row r="346" spans="1:76" ht="14.6" x14ac:dyDescent="0.4">
      <c r="A346" s="2" t="s">
        <v>658</v>
      </c>
      <c r="B346" s="3" t="s">
        <v>640</v>
      </c>
      <c r="C346" s="3" t="s">
        <v>645</v>
      </c>
      <c r="D346" s="84" t="s">
        <v>659</v>
      </c>
      <c r="E346" s="85"/>
      <c r="F346" s="3" t="s">
        <v>647</v>
      </c>
      <c r="G346" s="35">
        <v>1</v>
      </c>
      <c r="H346" s="82"/>
      <c r="I346" s="36" t="s">
        <v>65</v>
      </c>
      <c r="J346" s="35">
        <f>G346*AO346</f>
        <v>0</v>
      </c>
      <c r="K346" s="35">
        <f>G346*AP346</f>
        <v>0</v>
      </c>
      <c r="L346" s="35">
        <f>G346*H346</f>
        <v>0</v>
      </c>
      <c r="M346" s="35">
        <f>L346*(1+BW346/100)</f>
        <v>0</v>
      </c>
      <c r="N346" s="35">
        <v>0</v>
      </c>
      <c r="O346" s="35">
        <f>G346*N346</f>
        <v>0</v>
      </c>
      <c r="P346" s="37" t="s">
        <v>66</v>
      </c>
      <c r="Z346" s="35">
        <f>IF(AQ346="5",BJ346,0)</f>
        <v>0</v>
      </c>
      <c r="AB346" s="35">
        <f>IF(AQ346="1",BH346,0)</f>
        <v>0</v>
      </c>
      <c r="AC346" s="35">
        <f>IF(AQ346="1",BI346,0)</f>
        <v>0</v>
      </c>
      <c r="AD346" s="35">
        <f>IF(AQ346="7",BH346,0)</f>
        <v>0</v>
      </c>
      <c r="AE346" s="35">
        <f>IF(AQ346="7",BI346,0)</f>
        <v>0</v>
      </c>
      <c r="AF346" s="35">
        <f>IF(AQ346="2",BH346,0)</f>
        <v>0</v>
      </c>
      <c r="AG346" s="35">
        <f>IF(AQ346="2",BI346,0)</f>
        <v>0</v>
      </c>
      <c r="AH346" s="35">
        <f>IF(AQ346="0",BJ346,0)</f>
        <v>0</v>
      </c>
      <c r="AI346" s="12" t="s">
        <v>640</v>
      </c>
      <c r="AJ346" s="35">
        <f>IF(AN346=0,L346,0)</f>
        <v>0</v>
      </c>
      <c r="AK346" s="35">
        <f>IF(AN346=12,L346,0)</f>
        <v>0</v>
      </c>
      <c r="AL346" s="35">
        <f>IF(AN346=21,L346,0)</f>
        <v>0</v>
      </c>
      <c r="AN346" s="35">
        <v>21</v>
      </c>
      <c r="AO346" s="35">
        <f>H346*0</f>
        <v>0</v>
      </c>
      <c r="AP346" s="35">
        <f>H346*(1-0)</f>
        <v>0</v>
      </c>
      <c r="AQ346" s="36" t="s">
        <v>61</v>
      </c>
      <c r="AV346" s="35">
        <f>AW346+AX346</f>
        <v>0</v>
      </c>
      <c r="AW346" s="35">
        <f>G346*AO346</f>
        <v>0</v>
      </c>
      <c r="AX346" s="35">
        <f>G346*AP346</f>
        <v>0</v>
      </c>
      <c r="AY346" s="36" t="s">
        <v>648</v>
      </c>
      <c r="AZ346" s="36" t="s">
        <v>649</v>
      </c>
      <c r="BA346" s="12" t="s">
        <v>650</v>
      </c>
      <c r="BC346" s="35">
        <f>AW346+AX346</f>
        <v>0</v>
      </c>
      <c r="BD346" s="35">
        <f>H346/(100-BE346)*100</f>
        <v>0</v>
      </c>
      <c r="BE346" s="35">
        <v>0</v>
      </c>
      <c r="BF346" s="35">
        <f>O346</f>
        <v>0</v>
      </c>
      <c r="BH346" s="35">
        <f>G346*AO346</f>
        <v>0</v>
      </c>
      <c r="BI346" s="35">
        <f>G346*AP346</f>
        <v>0</v>
      </c>
      <c r="BJ346" s="35">
        <f>G346*H346</f>
        <v>0</v>
      </c>
      <c r="BK346" s="35"/>
      <c r="BL346" s="35"/>
      <c r="BW346" s="35" t="str">
        <f>I346</f>
        <v>21</v>
      </c>
      <c r="BX346" s="4" t="s">
        <v>659</v>
      </c>
    </row>
    <row r="347" spans="1:76" ht="27" customHeight="1" x14ac:dyDescent="0.4">
      <c r="A347" s="38"/>
      <c r="C347" s="44" t="s">
        <v>85</v>
      </c>
      <c r="D347" s="86" t="s">
        <v>660</v>
      </c>
      <c r="E347" s="87"/>
      <c r="F347" s="87"/>
      <c r="G347" s="87"/>
      <c r="H347" s="87"/>
      <c r="I347" s="87"/>
      <c r="J347" s="87"/>
      <c r="K347" s="87"/>
      <c r="L347" s="87"/>
      <c r="M347" s="87"/>
      <c r="N347" s="87"/>
      <c r="O347" s="87"/>
      <c r="P347" s="88"/>
    </row>
    <row r="348" spans="1:76" ht="14.6" x14ac:dyDescent="0.4">
      <c r="A348" s="2" t="s">
        <v>661</v>
      </c>
      <c r="B348" s="3" t="s">
        <v>640</v>
      </c>
      <c r="C348" s="3" t="s">
        <v>645</v>
      </c>
      <c r="D348" s="84" t="s">
        <v>662</v>
      </c>
      <c r="E348" s="85"/>
      <c r="F348" s="3" t="s">
        <v>647</v>
      </c>
      <c r="G348" s="35">
        <v>1</v>
      </c>
      <c r="H348" s="82"/>
      <c r="I348" s="36" t="s">
        <v>65</v>
      </c>
      <c r="J348" s="35">
        <f>G348*AO348</f>
        <v>0</v>
      </c>
      <c r="K348" s="35">
        <f>G348*AP348</f>
        <v>0</v>
      </c>
      <c r="L348" s="35">
        <f>G348*H348</f>
        <v>0</v>
      </c>
      <c r="M348" s="35">
        <f>L348*(1+BW348/100)</f>
        <v>0</v>
      </c>
      <c r="N348" s="35">
        <v>0</v>
      </c>
      <c r="O348" s="35">
        <f>G348*N348</f>
        <v>0</v>
      </c>
      <c r="P348" s="37" t="s">
        <v>66</v>
      </c>
      <c r="Z348" s="35">
        <f>IF(AQ348="5",BJ348,0)</f>
        <v>0</v>
      </c>
      <c r="AB348" s="35">
        <f>IF(AQ348="1",BH348,0)</f>
        <v>0</v>
      </c>
      <c r="AC348" s="35">
        <f>IF(AQ348="1",BI348,0)</f>
        <v>0</v>
      </c>
      <c r="AD348" s="35">
        <f>IF(AQ348="7",BH348,0)</f>
        <v>0</v>
      </c>
      <c r="AE348" s="35">
        <f>IF(AQ348="7",BI348,0)</f>
        <v>0</v>
      </c>
      <c r="AF348" s="35">
        <f>IF(AQ348="2",BH348,0)</f>
        <v>0</v>
      </c>
      <c r="AG348" s="35">
        <f>IF(AQ348="2",BI348,0)</f>
        <v>0</v>
      </c>
      <c r="AH348" s="35">
        <f>IF(AQ348="0",BJ348,0)</f>
        <v>0</v>
      </c>
      <c r="AI348" s="12" t="s">
        <v>640</v>
      </c>
      <c r="AJ348" s="35">
        <f>IF(AN348=0,L348,0)</f>
        <v>0</v>
      </c>
      <c r="AK348" s="35">
        <f>IF(AN348=12,L348,0)</f>
        <v>0</v>
      </c>
      <c r="AL348" s="35">
        <f>IF(AN348=21,L348,0)</f>
        <v>0</v>
      </c>
      <c r="AN348" s="35">
        <v>21</v>
      </c>
      <c r="AO348" s="35">
        <f>H348*0</f>
        <v>0</v>
      </c>
      <c r="AP348" s="35">
        <f>H348*(1-0)</f>
        <v>0</v>
      </c>
      <c r="AQ348" s="36" t="s">
        <v>61</v>
      </c>
      <c r="AV348" s="35">
        <f>AW348+AX348</f>
        <v>0</v>
      </c>
      <c r="AW348" s="35">
        <f>G348*AO348</f>
        <v>0</v>
      </c>
      <c r="AX348" s="35">
        <f>G348*AP348</f>
        <v>0</v>
      </c>
      <c r="AY348" s="36" t="s">
        <v>648</v>
      </c>
      <c r="AZ348" s="36" t="s">
        <v>649</v>
      </c>
      <c r="BA348" s="12" t="s">
        <v>650</v>
      </c>
      <c r="BC348" s="35">
        <f>AW348+AX348</f>
        <v>0</v>
      </c>
      <c r="BD348" s="35">
        <f>H348/(100-BE348)*100</f>
        <v>0</v>
      </c>
      <c r="BE348" s="35">
        <v>0</v>
      </c>
      <c r="BF348" s="35">
        <f>O348</f>
        <v>0</v>
      </c>
      <c r="BH348" s="35">
        <f>G348*AO348</f>
        <v>0</v>
      </c>
      <c r="BI348" s="35">
        <f>G348*AP348</f>
        <v>0</v>
      </c>
      <c r="BJ348" s="35">
        <f>G348*H348</f>
        <v>0</v>
      </c>
      <c r="BK348" s="35"/>
      <c r="BL348" s="35"/>
      <c r="BW348" s="35" t="str">
        <f>I348</f>
        <v>21</v>
      </c>
      <c r="BX348" s="4" t="s">
        <v>662</v>
      </c>
    </row>
    <row r="349" spans="1:76" ht="27" customHeight="1" x14ac:dyDescent="0.4">
      <c r="A349" s="38"/>
      <c r="C349" s="44" t="s">
        <v>85</v>
      </c>
      <c r="D349" s="86" t="s">
        <v>663</v>
      </c>
      <c r="E349" s="87"/>
      <c r="F349" s="87"/>
      <c r="G349" s="87"/>
      <c r="H349" s="87"/>
      <c r="I349" s="87"/>
      <c r="J349" s="87"/>
      <c r="K349" s="87"/>
      <c r="L349" s="87"/>
      <c r="M349" s="87"/>
      <c r="N349" s="87"/>
      <c r="O349" s="87"/>
      <c r="P349" s="88"/>
    </row>
    <row r="350" spans="1:76" ht="14.6" x14ac:dyDescent="0.4">
      <c r="A350" s="2" t="s">
        <v>664</v>
      </c>
      <c r="B350" s="3" t="s">
        <v>640</v>
      </c>
      <c r="C350" s="3" t="s">
        <v>645</v>
      </c>
      <c r="D350" s="84" t="s">
        <v>665</v>
      </c>
      <c r="E350" s="85"/>
      <c r="F350" s="3" t="s">
        <v>647</v>
      </c>
      <c r="G350" s="35">
        <v>1</v>
      </c>
      <c r="H350" s="82"/>
      <c r="I350" s="36" t="s">
        <v>65</v>
      </c>
      <c r="J350" s="35">
        <f>G350*AO350</f>
        <v>0</v>
      </c>
      <c r="K350" s="35">
        <f>G350*AP350</f>
        <v>0</v>
      </c>
      <c r="L350" s="35">
        <f>G350*H350</f>
        <v>0</v>
      </c>
      <c r="M350" s="35">
        <f>L350*(1+BW350/100)</f>
        <v>0</v>
      </c>
      <c r="N350" s="35">
        <v>0</v>
      </c>
      <c r="O350" s="35">
        <f>G350*N350</f>
        <v>0</v>
      </c>
      <c r="P350" s="37" t="s">
        <v>66</v>
      </c>
      <c r="Z350" s="35">
        <f>IF(AQ350="5",BJ350,0)</f>
        <v>0</v>
      </c>
      <c r="AB350" s="35">
        <f>IF(AQ350="1",BH350,0)</f>
        <v>0</v>
      </c>
      <c r="AC350" s="35">
        <f>IF(AQ350="1",BI350,0)</f>
        <v>0</v>
      </c>
      <c r="AD350" s="35">
        <f>IF(AQ350="7",BH350,0)</f>
        <v>0</v>
      </c>
      <c r="AE350" s="35">
        <f>IF(AQ350="7",BI350,0)</f>
        <v>0</v>
      </c>
      <c r="AF350" s="35">
        <f>IF(AQ350="2",BH350,0)</f>
        <v>0</v>
      </c>
      <c r="AG350" s="35">
        <f>IF(AQ350="2",BI350,0)</f>
        <v>0</v>
      </c>
      <c r="AH350" s="35">
        <f>IF(AQ350="0",BJ350,0)</f>
        <v>0</v>
      </c>
      <c r="AI350" s="12" t="s">
        <v>640</v>
      </c>
      <c r="AJ350" s="35">
        <f>IF(AN350=0,L350,0)</f>
        <v>0</v>
      </c>
      <c r="AK350" s="35">
        <f>IF(AN350=12,L350,0)</f>
        <v>0</v>
      </c>
      <c r="AL350" s="35">
        <f>IF(AN350=21,L350,0)</f>
        <v>0</v>
      </c>
      <c r="AN350" s="35">
        <v>21</v>
      </c>
      <c r="AO350" s="35">
        <f>H350*0</f>
        <v>0</v>
      </c>
      <c r="AP350" s="35">
        <f>H350*(1-0)</f>
        <v>0</v>
      </c>
      <c r="AQ350" s="36" t="s">
        <v>61</v>
      </c>
      <c r="AV350" s="35">
        <f>AW350+AX350</f>
        <v>0</v>
      </c>
      <c r="AW350" s="35">
        <f>G350*AO350</f>
        <v>0</v>
      </c>
      <c r="AX350" s="35">
        <f>G350*AP350</f>
        <v>0</v>
      </c>
      <c r="AY350" s="36" t="s">
        <v>648</v>
      </c>
      <c r="AZ350" s="36" t="s">
        <v>649</v>
      </c>
      <c r="BA350" s="12" t="s">
        <v>650</v>
      </c>
      <c r="BC350" s="35">
        <f>AW350+AX350</f>
        <v>0</v>
      </c>
      <c r="BD350" s="35">
        <f>H350/(100-BE350)*100</f>
        <v>0</v>
      </c>
      <c r="BE350" s="35">
        <v>0</v>
      </c>
      <c r="BF350" s="35">
        <f>O350</f>
        <v>0</v>
      </c>
      <c r="BH350" s="35">
        <f>G350*AO350</f>
        <v>0</v>
      </c>
      <c r="BI350" s="35">
        <f>G350*AP350</f>
        <v>0</v>
      </c>
      <c r="BJ350" s="35">
        <f>G350*H350</f>
        <v>0</v>
      </c>
      <c r="BK350" s="35"/>
      <c r="BL350" s="35"/>
      <c r="BW350" s="35" t="str">
        <f>I350</f>
        <v>21</v>
      </c>
      <c r="BX350" s="4" t="s">
        <v>665</v>
      </c>
    </row>
    <row r="351" spans="1:76" ht="27" customHeight="1" x14ac:dyDescent="0.4">
      <c r="A351" s="38"/>
      <c r="C351" s="44" t="s">
        <v>85</v>
      </c>
      <c r="D351" s="86" t="s">
        <v>666</v>
      </c>
      <c r="E351" s="87"/>
      <c r="F351" s="87"/>
      <c r="G351" s="87"/>
      <c r="H351" s="87"/>
      <c r="I351" s="87"/>
      <c r="J351" s="87"/>
      <c r="K351" s="87"/>
      <c r="L351" s="87"/>
      <c r="M351" s="87"/>
      <c r="N351" s="87"/>
      <c r="O351" s="87"/>
      <c r="P351" s="88"/>
    </row>
    <row r="352" spans="1:76" ht="14.6" x14ac:dyDescent="0.4">
      <c r="A352" s="2" t="s">
        <v>667</v>
      </c>
      <c r="B352" s="3" t="s">
        <v>640</v>
      </c>
      <c r="C352" s="3" t="s">
        <v>645</v>
      </c>
      <c r="D352" s="84" t="s">
        <v>668</v>
      </c>
      <c r="E352" s="85"/>
      <c r="F352" s="3" t="s">
        <v>647</v>
      </c>
      <c r="G352" s="35">
        <v>1</v>
      </c>
      <c r="H352" s="82"/>
      <c r="I352" s="36" t="s">
        <v>65</v>
      </c>
      <c r="J352" s="35">
        <f>G352*AO352</f>
        <v>0</v>
      </c>
      <c r="K352" s="35">
        <f>G352*AP352</f>
        <v>0</v>
      </c>
      <c r="L352" s="35">
        <f>G352*H352</f>
        <v>0</v>
      </c>
      <c r="M352" s="35">
        <f>L352*(1+BW352/100)</f>
        <v>0</v>
      </c>
      <c r="N352" s="35">
        <v>0</v>
      </c>
      <c r="O352" s="35">
        <f>G352*N352</f>
        <v>0</v>
      </c>
      <c r="P352" s="37" t="s">
        <v>66</v>
      </c>
      <c r="Z352" s="35">
        <f>IF(AQ352="5",BJ352,0)</f>
        <v>0</v>
      </c>
      <c r="AB352" s="35">
        <f>IF(AQ352="1",BH352,0)</f>
        <v>0</v>
      </c>
      <c r="AC352" s="35">
        <f>IF(AQ352="1",BI352,0)</f>
        <v>0</v>
      </c>
      <c r="AD352" s="35">
        <f>IF(AQ352="7",BH352,0)</f>
        <v>0</v>
      </c>
      <c r="AE352" s="35">
        <f>IF(AQ352="7",BI352,0)</f>
        <v>0</v>
      </c>
      <c r="AF352" s="35">
        <f>IF(AQ352="2",BH352,0)</f>
        <v>0</v>
      </c>
      <c r="AG352" s="35">
        <f>IF(AQ352="2",BI352,0)</f>
        <v>0</v>
      </c>
      <c r="AH352" s="35">
        <f>IF(AQ352="0",BJ352,0)</f>
        <v>0</v>
      </c>
      <c r="AI352" s="12" t="s">
        <v>640</v>
      </c>
      <c r="AJ352" s="35">
        <f>IF(AN352=0,L352,0)</f>
        <v>0</v>
      </c>
      <c r="AK352" s="35">
        <f>IF(AN352=12,L352,0)</f>
        <v>0</v>
      </c>
      <c r="AL352" s="35">
        <f>IF(AN352=21,L352,0)</f>
        <v>0</v>
      </c>
      <c r="AN352" s="35">
        <v>21</v>
      </c>
      <c r="AO352" s="35">
        <f>H352*0</f>
        <v>0</v>
      </c>
      <c r="AP352" s="35">
        <f>H352*(1-0)</f>
        <v>0</v>
      </c>
      <c r="AQ352" s="36" t="s">
        <v>61</v>
      </c>
      <c r="AV352" s="35">
        <f>AW352+AX352</f>
        <v>0</v>
      </c>
      <c r="AW352" s="35">
        <f>G352*AO352</f>
        <v>0</v>
      </c>
      <c r="AX352" s="35">
        <f>G352*AP352</f>
        <v>0</v>
      </c>
      <c r="AY352" s="36" t="s">
        <v>648</v>
      </c>
      <c r="AZ352" s="36" t="s">
        <v>649</v>
      </c>
      <c r="BA352" s="12" t="s">
        <v>650</v>
      </c>
      <c r="BC352" s="35">
        <f>AW352+AX352</f>
        <v>0</v>
      </c>
      <c r="BD352" s="35">
        <f>H352/(100-BE352)*100</f>
        <v>0</v>
      </c>
      <c r="BE352" s="35">
        <v>0</v>
      </c>
      <c r="BF352" s="35">
        <f>O352</f>
        <v>0</v>
      </c>
      <c r="BH352" s="35">
        <f>G352*AO352</f>
        <v>0</v>
      </c>
      <c r="BI352" s="35">
        <f>G352*AP352</f>
        <v>0</v>
      </c>
      <c r="BJ352" s="35">
        <f>G352*H352</f>
        <v>0</v>
      </c>
      <c r="BK352" s="35"/>
      <c r="BL352" s="35"/>
      <c r="BW352" s="35" t="str">
        <f>I352</f>
        <v>21</v>
      </c>
      <c r="BX352" s="4" t="s">
        <v>668</v>
      </c>
    </row>
    <row r="353" spans="1:76" ht="13.5" customHeight="1" x14ac:dyDescent="0.4">
      <c r="A353" s="38"/>
      <c r="C353" s="44" t="s">
        <v>85</v>
      </c>
      <c r="D353" s="86" t="s">
        <v>669</v>
      </c>
      <c r="E353" s="87"/>
      <c r="F353" s="87"/>
      <c r="G353" s="87"/>
      <c r="H353" s="87"/>
      <c r="I353" s="87"/>
      <c r="J353" s="87"/>
      <c r="K353" s="87"/>
      <c r="L353" s="87"/>
      <c r="M353" s="87"/>
      <c r="N353" s="87"/>
      <c r="O353" s="87"/>
      <c r="P353" s="88"/>
    </row>
    <row r="354" spans="1:76" ht="14.6" x14ac:dyDescent="0.4">
      <c r="A354" s="2" t="s">
        <v>670</v>
      </c>
      <c r="B354" s="3" t="s">
        <v>640</v>
      </c>
      <c r="C354" s="3" t="s">
        <v>645</v>
      </c>
      <c r="D354" s="84" t="s">
        <v>671</v>
      </c>
      <c r="E354" s="85"/>
      <c r="F354" s="3" t="s">
        <v>647</v>
      </c>
      <c r="G354" s="35">
        <v>1</v>
      </c>
      <c r="H354" s="82"/>
      <c r="I354" s="36" t="s">
        <v>65</v>
      </c>
      <c r="J354" s="35">
        <f>G354*AO354</f>
        <v>0</v>
      </c>
      <c r="K354" s="35">
        <f>G354*AP354</f>
        <v>0</v>
      </c>
      <c r="L354" s="35">
        <f>G354*H354</f>
        <v>0</v>
      </c>
      <c r="M354" s="35">
        <f>L354*(1+BW354/100)</f>
        <v>0</v>
      </c>
      <c r="N354" s="35">
        <v>0</v>
      </c>
      <c r="O354" s="35">
        <f>G354*N354</f>
        <v>0</v>
      </c>
      <c r="P354" s="37" t="s">
        <v>66</v>
      </c>
      <c r="Z354" s="35">
        <f>IF(AQ354="5",BJ354,0)</f>
        <v>0</v>
      </c>
      <c r="AB354" s="35">
        <f>IF(AQ354="1",BH354,0)</f>
        <v>0</v>
      </c>
      <c r="AC354" s="35">
        <f>IF(AQ354="1",BI354,0)</f>
        <v>0</v>
      </c>
      <c r="AD354" s="35">
        <f>IF(AQ354="7",BH354,0)</f>
        <v>0</v>
      </c>
      <c r="AE354" s="35">
        <f>IF(AQ354="7",BI354,0)</f>
        <v>0</v>
      </c>
      <c r="AF354" s="35">
        <f>IF(AQ354="2",BH354,0)</f>
        <v>0</v>
      </c>
      <c r="AG354" s="35">
        <f>IF(AQ354="2",BI354,0)</f>
        <v>0</v>
      </c>
      <c r="AH354" s="35">
        <f>IF(AQ354="0",BJ354,0)</f>
        <v>0</v>
      </c>
      <c r="AI354" s="12" t="s">
        <v>640</v>
      </c>
      <c r="AJ354" s="35">
        <f>IF(AN354=0,L354,0)</f>
        <v>0</v>
      </c>
      <c r="AK354" s="35">
        <f>IF(AN354=12,L354,0)</f>
        <v>0</v>
      </c>
      <c r="AL354" s="35">
        <f>IF(AN354=21,L354,0)</f>
        <v>0</v>
      </c>
      <c r="AN354" s="35">
        <v>21</v>
      </c>
      <c r="AO354" s="35">
        <f>H354*0</f>
        <v>0</v>
      </c>
      <c r="AP354" s="35">
        <f>H354*(1-0)</f>
        <v>0</v>
      </c>
      <c r="AQ354" s="36" t="s">
        <v>61</v>
      </c>
      <c r="AV354" s="35">
        <f>AW354+AX354</f>
        <v>0</v>
      </c>
      <c r="AW354" s="35">
        <f>G354*AO354</f>
        <v>0</v>
      </c>
      <c r="AX354" s="35">
        <f>G354*AP354</f>
        <v>0</v>
      </c>
      <c r="AY354" s="36" t="s">
        <v>648</v>
      </c>
      <c r="AZ354" s="36" t="s">
        <v>649</v>
      </c>
      <c r="BA354" s="12" t="s">
        <v>650</v>
      </c>
      <c r="BC354" s="35">
        <f>AW354+AX354</f>
        <v>0</v>
      </c>
      <c r="BD354" s="35">
        <f>H354/(100-BE354)*100</f>
        <v>0</v>
      </c>
      <c r="BE354" s="35">
        <v>0</v>
      </c>
      <c r="BF354" s="35">
        <f>O354</f>
        <v>0</v>
      </c>
      <c r="BH354" s="35">
        <f>G354*AO354</f>
        <v>0</v>
      </c>
      <c r="BI354" s="35">
        <f>G354*AP354</f>
        <v>0</v>
      </c>
      <c r="BJ354" s="35">
        <f>G354*H354</f>
        <v>0</v>
      </c>
      <c r="BK354" s="35"/>
      <c r="BL354" s="35"/>
      <c r="BW354" s="35" t="str">
        <f>I354</f>
        <v>21</v>
      </c>
      <c r="BX354" s="4" t="s">
        <v>671</v>
      </c>
    </row>
    <row r="355" spans="1:76" ht="27" customHeight="1" x14ac:dyDescent="0.4">
      <c r="A355" s="38"/>
      <c r="C355" s="44" t="s">
        <v>85</v>
      </c>
      <c r="D355" s="86" t="s">
        <v>672</v>
      </c>
      <c r="E355" s="87"/>
      <c r="F355" s="87"/>
      <c r="G355" s="87"/>
      <c r="H355" s="87"/>
      <c r="I355" s="87"/>
      <c r="J355" s="87"/>
      <c r="K355" s="87"/>
      <c r="L355" s="87"/>
      <c r="M355" s="87"/>
      <c r="N355" s="87"/>
      <c r="O355" s="87"/>
      <c r="P355" s="88"/>
    </row>
    <row r="356" spans="1:76" ht="14.6" x14ac:dyDescent="0.4">
      <c r="A356" s="2" t="s">
        <v>673</v>
      </c>
      <c r="B356" s="3" t="s">
        <v>640</v>
      </c>
      <c r="C356" s="3" t="s">
        <v>645</v>
      </c>
      <c r="D356" s="84" t="s">
        <v>674</v>
      </c>
      <c r="E356" s="85"/>
      <c r="F356" s="3" t="s">
        <v>647</v>
      </c>
      <c r="G356" s="35">
        <v>1</v>
      </c>
      <c r="H356" s="82"/>
      <c r="I356" s="36" t="s">
        <v>65</v>
      </c>
      <c r="J356" s="35">
        <f>G356*AO356</f>
        <v>0</v>
      </c>
      <c r="K356" s="35">
        <f>G356*AP356</f>
        <v>0</v>
      </c>
      <c r="L356" s="35">
        <f>G356*H356</f>
        <v>0</v>
      </c>
      <c r="M356" s="35">
        <f>L356*(1+BW356/100)</f>
        <v>0</v>
      </c>
      <c r="N356" s="35">
        <v>0</v>
      </c>
      <c r="O356" s="35">
        <f>G356*N356</f>
        <v>0</v>
      </c>
      <c r="P356" s="37" t="s">
        <v>66</v>
      </c>
      <c r="Z356" s="35">
        <f>IF(AQ356="5",BJ356,0)</f>
        <v>0</v>
      </c>
      <c r="AB356" s="35">
        <f>IF(AQ356="1",BH356,0)</f>
        <v>0</v>
      </c>
      <c r="AC356" s="35">
        <f>IF(AQ356="1",BI356,0)</f>
        <v>0</v>
      </c>
      <c r="AD356" s="35">
        <f>IF(AQ356="7",BH356,0)</f>
        <v>0</v>
      </c>
      <c r="AE356" s="35">
        <f>IF(AQ356="7",BI356,0)</f>
        <v>0</v>
      </c>
      <c r="AF356" s="35">
        <f>IF(AQ356="2",BH356,0)</f>
        <v>0</v>
      </c>
      <c r="AG356" s="35">
        <f>IF(AQ356="2",BI356,0)</f>
        <v>0</v>
      </c>
      <c r="AH356" s="35">
        <f>IF(AQ356="0",BJ356,0)</f>
        <v>0</v>
      </c>
      <c r="AI356" s="12" t="s">
        <v>640</v>
      </c>
      <c r="AJ356" s="35">
        <f>IF(AN356=0,L356,0)</f>
        <v>0</v>
      </c>
      <c r="AK356" s="35">
        <f>IF(AN356=12,L356,0)</f>
        <v>0</v>
      </c>
      <c r="AL356" s="35">
        <f>IF(AN356=21,L356,0)</f>
        <v>0</v>
      </c>
      <c r="AN356" s="35">
        <v>21</v>
      </c>
      <c r="AO356" s="35">
        <f>H356*0</f>
        <v>0</v>
      </c>
      <c r="AP356" s="35">
        <f>H356*(1-0)</f>
        <v>0</v>
      </c>
      <c r="AQ356" s="36" t="s">
        <v>61</v>
      </c>
      <c r="AV356" s="35">
        <f>AW356+AX356</f>
        <v>0</v>
      </c>
      <c r="AW356" s="35">
        <f>G356*AO356</f>
        <v>0</v>
      </c>
      <c r="AX356" s="35">
        <f>G356*AP356</f>
        <v>0</v>
      </c>
      <c r="AY356" s="36" t="s">
        <v>648</v>
      </c>
      <c r="AZ356" s="36" t="s">
        <v>649</v>
      </c>
      <c r="BA356" s="12" t="s">
        <v>650</v>
      </c>
      <c r="BC356" s="35">
        <f>AW356+AX356</f>
        <v>0</v>
      </c>
      <c r="BD356" s="35">
        <f>H356/(100-BE356)*100</f>
        <v>0</v>
      </c>
      <c r="BE356" s="35">
        <v>0</v>
      </c>
      <c r="BF356" s="35">
        <f>O356</f>
        <v>0</v>
      </c>
      <c r="BH356" s="35">
        <f>G356*AO356</f>
        <v>0</v>
      </c>
      <c r="BI356" s="35">
        <f>G356*AP356</f>
        <v>0</v>
      </c>
      <c r="BJ356" s="35">
        <f>G356*H356</f>
        <v>0</v>
      </c>
      <c r="BK356" s="35"/>
      <c r="BL356" s="35"/>
      <c r="BW356" s="35" t="str">
        <f>I356</f>
        <v>21</v>
      </c>
      <c r="BX356" s="4" t="s">
        <v>674</v>
      </c>
    </row>
    <row r="357" spans="1:76" ht="13.5" customHeight="1" x14ac:dyDescent="0.4">
      <c r="A357" s="38"/>
      <c r="C357" s="44" t="s">
        <v>85</v>
      </c>
      <c r="D357" s="86" t="s">
        <v>675</v>
      </c>
      <c r="E357" s="87"/>
      <c r="F357" s="87"/>
      <c r="G357" s="87"/>
      <c r="H357" s="87"/>
      <c r="I357" s="87"/>
      <c r="J357" s="87"/>
      <c r="K357" s="87"/>
      <c r="L357" s="87"/>
      <c r="M357" s="87"/>
      <c r="N357" s="87"/>
      <c r="O357" s="87"/>
      <c r="P357" s="88"/>
    </row>
    <row r="358" spans="1:76" ht="14.6" x14ac:dyDescent="0.4">
      <c r="A358" s="2" t="s">
        <v>676</v>
      </c>
      <c r="B358" s="3" t="s">
        <v>640</v>
      </c>
      <c r="C358" s="3" t="s">
        <v>677</v>
      </c>
      <c r="D358" s="84" t="s">
        <v>678</v>
      </c>
      <c r="E358" s="85"/>
      <c r="F358" s="3" t="s">
        <v>647</v>
      </c>
      <c r="G358" s="35">
        <v>1</v>
      </c>
      <c r="H358" s="82"/>
      <c r="I358" s="36" t="s">
        <v>65</v>
      </c>
      <c r="J358" s="35">
        <f>G358*AO358</f>
        <v>0</v>
      </c>
      <c r="K358" s="35">
        <f>G358*AP358</f>
        <v>0</v>
      </c>
      <c r="L358" s="35">
        <f>G358*H358</f>
        <v>0</v>
      </c>
      <c r="M358" s="35">
        <f>L358*(1+BW358/100)</f>
        <v>0</v>
      </c>
      <c r="N358" s="35">
        <v>0</v>
      </c>
      <c r="O358" s="35">
        <f>G358*N358</f>
        <v>0</v>
      </c>
      <c r="P358" s="37" t="s">
        <v>66</v>
      </c>
      <c r="Z358" s="35">
        <f>IF(AQ358="5",BJ358,0)</f>
        <v>0</v>
      </c>
      <c r="AB358" s="35">
        <f>IF(AQ358="1",BH358,0)</f>
        <v>0</v>
      </c>
      <c r="AC358" s="35">
        <f>IF(AQ358="1",BI358,0)</f>
        <v>0</v>
      </c>
      <c r="AD358" s="35">
        <f>IF(AQ358="7",BH358,0)</f>
        <v>0</v>
      </c>
      <c r="AE358" s="35">
        <f>IF(AQ358="7",BI358,0)</f>
        <v>0</v>
      </c>
      <c r="AF358" s="35">
        <f>IF(AQ358="2",BH358,0)</f>
        <v>0</v>
      </c>
      <c r="AG358" s="35">
        <f>IF(AQ358="2",BI358,0)</f>
        <v>0</v>
      </c>
      <c r="AH358" s="35">
        <f>IF(AQ358="0",BJ358,0)</f>
        <v>0</v>
      </c>
      <c r="AI358" s="12" t="s">
        <v>640</v>
      </c>
      <c r="AJ358" s="35">
        <f>IF(AN358=0,L358,0)</f>
        <v>0</v>
      </c>
      <c r="AK358" s="35">
        <f>IF(AN358=12,L358,0)</f>
        <v>0</v>
      </c>
      <c r="AL358" s="35">
        <f>IF(AN358=21,L358,0)</f>
        <v>0</v>
      </c>
      <c r="AN358" s="35">
        <v>21</v>
      </c>
      <c r="AO358" s="35">
        <f>H358*0</f>
        <v>0</v>
      </c>
      <c r="AP358" s="35">
        <f>H358*(1-0)</f>
        <v>0</v>
      </c>
      <c r="AQ358" s="36" t="s">
        <v>61</v>
      </c>
      <c r="AV358" s="35">
        <f>AW358+AX358</f>
        <v>0</v>
      </c>
      <c r="AW358" s="35">
        <f>G358*AO358</f>
        <v>0</v>
      </c>
      <c r="AX358" s="35">
        <f>G358*AP358</f>
        <v>0</v>
      </c>
      <c r="AY358" s="36" t="s">
        <v>648</v>
      </c>
      <c r="AZ358" s="36" t="s">
        <v>649</v>
      </c>
      <c r="BA358" s="12" t="s">
        <v>650</v>
      </c>
      <c r="BC358" s="35">
        <f>AW358+AX358</f>
        <v>0</v>
      </c>
      <c r="BD358" s="35">
        <f>H358/(100-BE358)*100</f>
        <v>0</v>
      </c>
      <c r="BE358" s="35">
        <v>0</v>
      </c>
      <c r="BF358" s="35">
        <f>O358</f>
        <v>0</v>
      </c>
      <c r="BH358" s="35">
        <f>G358*AO358</f>
        <v>0</v>
      </c>
      <c r="BI358" s="35">
        <f>G358*AP358</f>
        <v>0</v>
      </c>
      <c r="BJ358" s="35">
        <f>G358*H358</f>
        <v>0</v>
      </c>
      <c r="BK358" s="35"/>
      <c r="BL358" s="35"/>
      <c r="BW358" s="35" t="str">
        <f>I358</f>
        <v>21</v>
      </c>
      <c r="BX358" s="4" t="s">
        <v>678</v>
      </c>
    </row>
    <row r="359" spans="1:76" ht="13.5" customHeight="1" x14ac:dyDescent="0.4">
      <c r="A359" s="38"/>
      <c r="C359" s="44" t="s">
        <v>85</v>
      </c>
      <c r="D359" s="86" t="s">
        <v>679</v>
      </c>
      <c r="E359" s="87"/>
      <c r="F359" s="87"/>
      <c r="G359" s="87"/>
      <c r="H359" s="87"/>
      <c r="I359" s="87"/>
      <c r="J359" s="87"/>
      <c r="K359" s="87"/>
      <c r="L359" s="87"/>
      <c r="M359" s="87"/>
      <c r="N359" s="87"/>
      <c r="O359" s="87"/>
      <c r="P359" s="88"/>
    </row>
    <row r="360" spans="1:76" ht="14.6" x14ac:dyDescent="0.4">
      <c r="A360" s="2" t="s">
        <v>680</v>
      </c>
      <c r="B360" s="3" t="s">
        <v>640</v>
      </c>
      <c r="C360" s="3" t="s">
        <v>677</v>
      </c>
      <c r="D360" s="84" t="s">
        <v>681</v>
      </c>
      <c r="E360" s="85"/>
      <c r="F360" s="3" t="s">
        <v>647</v>
      </c>
      <c r="G360" s="35">
        <v>1</v>
      </c>
      <c r="H360" s="82"/>
      <c r="I360" s="36" t="s">
        <v>65</v>
      </c>
      <c r="J360" s="35">
        <f>G360*AO360</f>
        <v>0</v>
      </c>
      <c r="K360" s="35">
        <f>G360*AP360</f>
        <v>0</v>
      </c>
      <c r="L360" s="35">
        <f>G360*H360</f>
        <v>0</v>
      </c>
      <c r="M360" s="35">
        <f>L360*(1+BW360/100)</f>
        <v>0</v>
      </c>
      <c r="N360" s="35">
        <v>0</v>
      </c>
      <c r="O360" s="35">
        <f>G360*N360</f>
        <v>0</v>
      </c>
      <c r="P360" s="37" t="s">
        <v>66</v>
      </c>
      <c r="Z360" s="35">
        <f>IF(AQ360="5",BJ360,0)</f>
        <v>0</v>
      </c>
      <c r="AB360" s="35">
        <f>IF(AQ360="1",BH360,0)</f>
        <v>0</v>
      </c>
      <c r="AC360" s="35">
        <f>IF(AQ360="1",BI360,0)</f>
        <v>0</v>
      </c>
      <c r="AD360" s="35">
        <f>IF(AQ360="7",BH360,0)</f>
        <v>0</v>
      </c>
      <c r="AE360" s="35">
        <f>IF(AQ360="7",BI360,0)</f>
        <v>0</v>
      </c>
      <c r="AF360" s="35">
        <f>IF(AQ360="2",BH360,0)</f>
        <v>0</v>
      </c>
      <c r="AG360" s="35">
        <f>IF(AQ360="2",BI360,0)</f>
        <v>0</v>
      </c>
      <c r="AH360" s="35">
        <f>IF(AQ360="0",BJ360,0)</f>
        <v>0</v>
      </c>
      <c r="AI360" s="12" t="s">
        <v>640</v>
      </c>
      <c r="AJ360" s="35">
        <f>IF(AN360=0,L360,0)</f>
        <v>0</v>
      </c>
      <c r="AK360" s="35">
        <f>IF(AN360=12,L360,0)</f>
        <v>0</v>
      </c>
      <c r="AL360" s="35">
        <f>IF(AN360=21,L360,0)</f>
        <v>0</v>
      </c>
      <c r="AN360" s="35">
        <v>21</v>
      </c>
      <c r="AO360" s="35">
        <f>H360*0</f>
        <v>0</v>
      </c>
      <c r="AP360" s="35">
        <f>H360*(1-0)</f>
        <v>0</v>
      </c>
      <c r="AQ360" s="36" t="s">
        <v>61</v>
      </c>
      <c r="AV360" s="35">
        <f>AW360+AX360</f>
        <v>0</v>
      </c>
      <c r="AW360" s="35">
        <f>G360*AO360</f>
        <v>0</v>
      </c>
      <c r="AX360" s="35">
        <f>G360*AP360</f>
        <v>0</v>
      </c>
      <c r="AY360" s="36" t="s">
        <v>648</v>
      </c>
      <c r="AZ360" s="36" t="s">
        <v>649</v>
      </c>
      <c r="BA360" s="12" t="s">
        <v>650</v>
      </c>
      <c r="BC360" s="35">
        <f>AW360+AX360</f>
        <v>0</v>
      </c>
      <c r="BD360" s="35">
        <f>H360/(100-BE360)*100</f>
        <v>0</v>
      </c>
      <c r="BE360" s="35">
        <v>0</v>
      </c>
      <c r="BF360" s="35">
        <f>O360</f>
        <v>0</v>
      </c>
      <c r="BH360" s="35">
        <f>G360*AO360</f>
        <v>0</v>
      </c>
      <c r="BI360" s="35">
        <f>G360*AP360</f>
        <v>0</v>
      </c>
      <c r="BJ360" s="35">
        <f>G360*H360</f>
        <v>0</v>
      </c>
      <c r="BK360" s="35"/>
      <c r="BL360" s="35"/>
      <c r="BW360" s="35" t="str">
        <f>I360</f>
        <v>21</v>
      </c>
      <c r="BX360" s="4" t="s">
        <v>681</v>
      </c>
    </row>
    <row r="361" spans="1:76" ht="27" customHeight="1" x14ac:dyDescent="0.4">
      <c r="A361" s="38"/>
      <c r="C361" s="44" t="s">
        <v>85</v>
      </c>
      <c r="D361" s="86" t="s">
        <v>682</v>
      </c>
      <c r="E361" s="87"/>
      <c r="F361" s="87"/>
      <c r="G361" s="87"/>
      <c r="H361" s="87"/>
      <c r="I361" s="87"/>
      <c r="J361" s="87"/>
      <c r="K361" s="87"/>
      <c r="L361" s="87"/>
      <c r="M361" s="87"/>
      <c r="N361" s="87"/>
      <c r="O361" s="87"/>
      <c r="P361" s="88"/>
    </row>
    <row r="362" spans="1:76" ht="14.6" x14ac:dyDescent="0.4">
      <c r="A362" s="2" t="s">
        <v>683</v>
      </c>
      <c r="B362" s="3" t="s">
        <v>640</v>
      </c>
      <c r="C362" s="3" t="s">
        <v>677</v>
      </c>
      <c r="D362" s="84" t="s">
        <v>684</v>
      </c>
      <c r="E362" s="85"/>
      <c r="F362" s="3" t="s">
        <v>647</v>
      </c>
      <c r="G362" s="35">
        <v>1</v>
      </c>
      <c r="H362" s="82"/>
      <c r="I362" s="36" t="s">
        <v>65</v>
      </c>
      <c r="J362" s="35">
        <f>G362*AO362</f>
        <v>0</v>
      </c>
      <c r="K362" s="35">
        <f>G362*AP362</f>
        <v>0</v>
      </c>
      <c r="L362" s="35">
        <f>G362*H362</f>
        <v>0</v>
      </c>
      <c r="M362" s="35">
        <f>L362*(1+BW362/100)</f>
        <v>0</v>
      </c>
      <c r="N362" s="35">
        <v>0</v>
      </c>
      <c r="O362" s="35">
        <f>G362*N362</f>
        <v>0</v>
      </c>
      <c r="P362" s="37" t="s">
        <v>66</v>
      </c>
      <c r="Z362" s="35">
        <f>IF(AQ362="5",BJ362,0)</f>
        <v>0</v>
      </c>
      <c r="AB362" s="35">
        <f>IF(AQ362="1",BH362,0)</f>
        <v>0</v>
      </c>
      <c r="AC362" s="35">
        <f>IF(AQ362="1",BI362,0)</f>
        <v>0</v>
      </c>
      <c r="AD362" s="35">
        <f>IF(AQ362="7",BH362,0)</f>
        <v>0</v>
      </c>
      <c r="AE362" s="35">
        <f>IF(AQ362="7",BI362,0)</f>
        <v>0</v>
      </c>
      <c r="AF362" s="35">
        <f>IF(AQ362="2",BH362,0)</f>
        <v>0</v>
      </c>
      <c r="AG362" s="35">
        <f>IF(AQ362="2",BI362,0)</f>
        <v>0</v>
      </c>
      <c r="AH362" s="35">
        <f>IF(AQ362="0",BJ362,0)</f>
        <v>0</v>
      </c>
      <c r="AI362" s="12" t="s">
        <v>640</v>
      </c>
      <c r="AJ362" s="35">
        <f>IF(AN362=0,L362,0)</f>
        <v>0</v>
      </c>
      <c r="AK362" s="35">
        <f>IF(AN362=12,L362,0)</f>
        <v>0</v>
      </c>
      <c r="AL362" s="35">
        <f>IF(AN362=21,L362,0)</f>
        <v>0</v>
      </c>
      <c r="AN362" s="35">
        <v>21</v>
      </c>
      <c r="AO362" s="35">
        <f>H362*0</f>
        <v>0</v>
      </c>
      <c r="AP362" s="35">
        <f>H362*(1-0)</f>
        <v>0</v>
      </c>
      <c r="AQ362" s="36" t="s">
        <v>61</v>
      </c>
      <c r="AV362" s="35">
        <f>AW362+AX362</f>
        <v>0</v>
      </c>
      <c r="AW362" s="35">
        <f>G362*AO362</f>
        <v>0</v>
      </c>
      <c r="AX362" s="35">
        <f>G362*AP362</f>
        <v>0</v>
      </c>
      <c r="AY362" s="36" t="s">
        <v>648</v>
      </c>
      <c r="AZ362" s="36" t="s">
        <v>649</v>
      </c>
      <c r="BA362" s="12" t="s">
        <v>650</v>
      </c>
      <c r="BC362" s="35">
        <f>AW362+AX362</f>
        <v>0</v>
      </c>
      <c r="BD362" s="35">
        <f>H362/(100-BE362)*100</f>
        <v>0</v>
      </c>
      <c r="BE362" s="35">
        <v>0</v>
      </c>
      <c r="BF362" s="35">
        <f>O362</f>
        <v>0</v>
      </c>
      <c r="BH362" s="35">
        <f>G362*AO362</f>
        <v>0</v>
      </c>
      <c r="BI362" s="35">
        <f>G362*AP362</f>
        <v>0</v>
      </c>
      <c r="BJ362" s="35">
        <f>G362*H362</f>
        <v>0</v>
      </c>
      <c r="BK362" s="35"/>
      <c r="BL362" s="35"/>
      <c r="BW362" s="35" t="str">
        <f>I362</f>
        <v>21</v>
      </c>
      <c r="BX362" s="4" t="s">
        <v>684</v>
      </c>
    </row>
    <row r="363" spans="1:76" ht="27" customHeight="1" x14ac:dyDescent="0.4">
      <c r="A363" s="38"/>
      <c r="C363" s="44" t="s">
        <v>85</v>
      </c>
      <c r="D363" s="86" t="s">
        <v>685</v>
      </c>
      <c r="E363" s="87"/>
      <c r="F363" s="87"/>
      <c r="G363" s="87"/>
      <c r="H363" s="87"/>
      <c r="I363" s="87"/>
      <c r="J363" s="87"/>
      <c r="K363" s="87"/>
      <c r="L363" s="87"/>
      <c r="M363" s="87"/>
      <c r="N363" s="87"/>
      <c r="O363" s="87"/>
      <c r="P363" s="88"/>
    </row>
    <row r="364" spans="1:76" ht="14.6" x14ac:dyDescent="0.4">
      <c r="A364" s="31" t="s">
        <v>56</v>
      </c>
      <c r="B364" s="32" t="s">
        <v>686</v>
      </c>
      <c r="C364" s="32" t="s">
        <v>56</v>
      </c>
      <c r="D364" s="89" t="s">
        <v>687</v>
      </c>
      <c r="E364" s="90"/>
      <c r="F364" s="33" t="s">
        <v>4</v>
      </c>
      <c r="G364" s="33" t="s">
        <v>4</v>
      </c>
      <c r="H364" s="33" t="s">
        <v>4</v>
      </c>
      <c r="I364" s="33" t="s">
        <v>4</v>
      </c>
      <c r="J364" s="1">
        <f>J365</f>
        <v>0</v>
      </c>
      <c r="K364" s="1">
        <f>K365</f>
        <v>0</v>
      </c>
      <c r="L364" s="1">
        <f>L365</f>
        <v>0</v>
      </c>
      <c r="M364" s="1">
        <f>M365</f>
        <v>0</v>
      </c>
      <c r="N364" s="12" t="s">
        <v>56</v>
      </c>
      <c r="O364" s="1">
        <f>O365</f>
        <v>0</v>
      </c>
      <c r="P364" s="34" t="s">
        <v>56</v>
      </c>
    </row>
    <row r="365" spans="1:76" ht="14.6" x14ac:dyDescent="0.4">
      <c r="A365" s="31" t="s">
        <v>56</v>
      </c>
      <c r="B365" s="32" t="s">
        <v>686</v>
      </c>
      <c r="C365" s="32" t="s">
        <v>642</v>
      </c>
      <c r="D365" s="89" t="s">
        <v>643</v>
      </c>
      <c r="E365" s="90"/>
      <c r="F365" s="33" t="s">
        <v>4</v>
      </c>
      <c r="G365" s="33" t="s">
        <v>4</v>
      </c>
      <c r="H365" s="33" t="s">
        <v>4</v>
      </c>
      <c r="I365" s="33" t="s">
        <v>4</v>
      </c>
      <c r="J365" s="1">
        <f>SUM(J366:J366)</f>
        <v>0</v>
      </c>
      <c r="K365" s="1">
        <f>SUM(K366:K366)</f>
        <v>0</v>
      </c>
      <c r="L365" s="1">
        <f>SUM(L366:L366)</f>
        <v>0</v>
      </c>
      <c r="M365" s="1">
        <f>SUM(M366:M366)</f>
        <v>0</v>
      </c>
      <c r="N365" s="12" t="s">
        <v>56</v>
      </c>
      <c r="O365" s="1">
        <f>SUM(O366:O366)</f>
        <v>0</v>
      </c>
      <c r="P365" s="34" t="s">
        <v>56</v>
      </c>
      <c r="AI365" s="12" t="s">
        <v>686</v>
      </c>
      <c r="AS365" s="1">
        <f>SUM(AJ366:AJ366)</f>
        <v>0</v>
      </c>
      <c r="AT365" s="1">
        <f>SUM(AK366:AK366)</f>
        <v>0</v>
      </c>
      <c r="AU365" s="1">
        <f>SUM(AL366:AL366)</f>
        <v>0</v>
      </c>
    </row>
    <row r="366" spans="1:76" ht="14.6" x14ac:dyDescent="0.4">
      <c r="A366" s="2" t="s">
        <v>688</v>
      </c>
      <c r="B366" s="3" t="s">
        <v>686</v>
      </c>
      <c r="C366" s="3" t="s">
        <v>645</v>
      </c>
      <c r="D366" s="84" t="s">
        <v>689</v>
      </c>
      <c r="E366" s="85"/>
      <c r="F366" s="3" t="s">
        <v>647</v>
      </c>
      <c r="G366" s="35">
        <v>1</v>
      </c>
      <c r="H366" s="82"/>
      <c r="I366" s="36" t="s">
        <v>65</v>
      </c>
      <c r="J366" s="35">
        <f>G366*AO366</f>
        <v>0</v>
      </c>
      <c r="K366" s="35">
        <f>G366*AP366</f>
        <v>0</v>
      </c>
      <c r="L366" s="35">
        <f>G366*H366</f>
        <v>0</v>
      </c>
      <c r="M366" s="35">
        <f>L366*(1+BW366/100)</f>
        <v>0</v>
      </c>
      <c r="N366" s="35">
        <v>0</v>
      </c>
      <c r="O366" s="35">
        <f>G366*N366</f>
        <v>0</v>
      </c>
      <c r="P366" s="37" t="s">
        <v>66</v>
      </c>
      <c r="Z366" s="35">
        <f>IF(AQ366="5",BJ366,0)</f>
        <v>0</v>
      </c>
      <c r="AB366" s="35">
        <f>IF(AQ366="1",BH366,0)</f>
        <v>0</v>
      </c>
      <c r="AC366" s="35">
        <f>IF(AQ366="1",BI366,0)</f>
        <v>0</v>
      </c>
      <c r="AD366" s="35">
        <f>IF(AQ366="7",BH366,0)</f>
        <v>0</v>
      </c>
      <c r="AE366" s="35">
        <f>IF(AQ366="7",BI366,0)</f>
        <v>0</v>
      </c>
      <c r="AF366" s="35">
        <f>IF(AQ366="2",BH366,0)</f>
        <v>0</v>
      </c>
      <c r="AG366" s="35">
        <f>IF(AQ366="2",BI366,0)</f>
        <v>0</v>
      </c>
      <c r="AH366" s="35">
        <f>IF(AQ366="0",BJ366,0)</f>
        <v>0</v>
      </c>
      <c r="AI366" s="12" t="s">
        <v>686</v>
      </c>
      <c r="AJ366" s="35">
        <f>IF(AN366=0,L366,0)</f>
        <v>0</v>
      </c>
      <c r="AK366" s="35">
        <f>IF(AN366=12,L366,0)</f>
        <v>0</v>
      </c>
      <c r="AL366" s="35">
        <f>IF(AN366=21,L366,0)</f>
        <v>0</v>
      </c>
      <c r="AN366" s="35">
        <v>21</v>
      </c>
      <c r="AO366" s="35">
        <f>H366*0</f>
        <v>0</v>
      </c>
      <c r="AP366" s="35">
        <f>H366*(1-0)</f>
        <v>0</v>
      </c>
      <c r="AQ366" s="36" t="s">
        <v>61</v>
      </c>
      <c r="AV366" s="35">
        <f>AW366+AX366</f>
        <v>0</v>
      </c>
      <c r="AW366" s="35">
        <f>G366*AO366</f>
        <v>0</v>
      </c>
      <c r="AX366" s="35">
        <f>G366*AP366</f>
        <v>0</v>
      </c>
      <c r="AY366" s="36" t="s">
        <v>648</v>
      </c>
      <c r="AZ366" s="36" t="s">
        <v>690</v>
      </c>
      <c r="BA366" s="12" t="s">
        <v>691</v>
      </c>
      <c r="BC366" s="35">
        <f>AW366+AX366</f>
        <v>0</v>
      </c>
      <c r="BD366" s="35">
        <f>H366/(100-BE366)*100</f>
        <v>0</v>
      </c>
      <c r="BE366" s="35">
        <v>0</v>
      </c>
      <c r="BF366" s="35">
        <f>O366</f>
        <v>0</v>
      </c>
      <c r="BH366" s="35">
        <f>G366*AO366</f>
        <v>0</v>
      </c>
      <c r="BI366" s="35">
        <f>G366*AP366</f>
        <v>0</v>
      </c>
      <c r="BJ366" s="35">
        <f>G366*H366</f>
        <v>0</v>
      </c>
      <c r="BK366" s="35"/>
      <c r="BL366" s="35"/>
      <c r="BW366" s="35" t="str">
        <f>I366</f>
        <v>21</v>
      </c>
      <c r="BX366" s="4" t="s">
        <v>689</v>
      </c>
    </row>
    <row r="367" spans="1:76" ht="27" customHeight="1" x14ac:dyDescent="0.4">
      <c r="A367" s="45"/>
      <c r="B367" s="46"/>
      <c r="C367" s="47" t="s">
        <v>85</v>
      </c>
      <c r="D367" s="91" t="s">
        <v>692</v>
      </c>
      <c r="E367" s="92"/>
      <c r="F367" s="92"/>
      <c r="G367" s="92"/>
      <c r="H367" s="92"/>
      <c r="I367" s="92"/>
      <c r="J367" s="92"/>
      <c r="K367" s="92"/>
      <c r="L367" s="92"/>
      <c r="M367" s="92"/>
      <c r="N367" s="92"/>
      <c r="O367" s="92"/>
      <c r="P367" s="93"/>
    </row>
    <row r="368" spans="1:76" ht="14.6" x14ac:dyDescent="0.4">
      <c r="J368" s="83" t="s">
        <v>693</v>
      </c>
      <c r="K368" s="83"/>
      <c r="L368" s="48">
        <f>L13+L34+L42+L46+L49+L56+L70+L84+L97+L107+L115+L122+L137+L139+L141+L144+L156+L172+L177+L183+L188+L193+L203+L208+L211+L216+L219+L226+L234+L239+L243+L249+L271+L273+L309+L325+L334+L339+L365</f>
        <v>0</v>
      </c>
      <c r="M368" s="48">
        <f>M13+M34+M42+M46+M49+M56+M70+M84+M97+M107+M115+M122+M137+M139+M141+M144+M156+M172+M177+M183+M188+M193+M203+M208+M211+M216+M219+M226+M234+M239+M243+M249+M271+M273+M309+M325+M334+M339+M365</f>
        <v>0</v>
      </c>
    </row>
    <row r="369" spans="1:16" ht="14.6" x14ac:dyDescent="0.4">
      <c r="A369" s="49" t="s">
        <v>85</v>
      </c>
    </row>
    <row r="370" spans="1:16" ht="13.5" customHeight="1" x14ac:dyDescent="0.4">
      <c r="A370" s="84" t="s">
        <v>694</v>
      </c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</row>
  </sheetData>
  <sheetProtection algorithmName="SHA-512" hashValue="M1ekFXdlRgRWDEUFMk2AVZCv4bzc0mS5Qpu024OA8iSUdUCJDYIuRN82ncwGNpACSvyWPf5AXu5ZMN07ZpF6sA==" saltValue="+P5ghTrK+sYcMYXH4RX19w==" spinCount="100000" sheet="1" objects="1" scenarios="1"/>
  <mergeCells count="318">
    <mergeCell ref="A1:P1"/>
    <mergeCell ref="A2:C3"/>
    <mergeCell ref="A4:C5"/>
    <mergeCell ref="A6:C7"/>
    <mergeCell ref="A8:C9"/>
    <mergeCell ref="G2:G3"/>
    <mergeCell ref="G4:G5"/>
    <mergeCell ref="G6:G7"/>
    <mergeCell ref="G8:G9"/>
    <mergeCell ref="I2:I3"/>
    <mergeCell ref="I4:I5"/>
    <mergeCell ref="I6:I7"/>
    <mergeCell ref="I8:I9"/>
    <mergeCell ref="D2:F3"/>
    <mergeCell ref="D4:F5"/>
    <mergeCell ref="D6:F7"/>
    <mergeCell ref="J2:P3"/>
    <mergeCell ref="J4:P5"/>
    <mergeCell ref="J6:P7"/>
    <mergeCell ref="J8:P9"/>
    <mergeCell ref="D10:E10"/>
    <mergeCell ref="D8:F9"/>
    <mergeCell ref="H2:H3"/>
    <mergeCell ref="H4:H5"/>
    <mergeCell ref="H6:H7"/>
    <mergeCell ref="H8:H9"/>
    <mergeCell ref="D14:E14"/>
    <mergeCell ref="D16:E16"/>
    <mergeCell ref="D18:E18"/>
    <mergeCell ref="D20:E20"/>
    <mergeCell ref="D21:P21"/>
    <mergeCell ref="D11:E11"/>
    <mergeCell ref="J10:L10"/>
    <mergeCell ref="N10:O10"/>
    <mergeCell ref="D12:E12"/>
    <mergeCell ref="D13:E13"/>
    <mergeCell ref="D30:E30"/>
    <mergeCell ref="D31:P31"/>
    <mergeCell ref="D33:E33"/>
    <mergeCell ref="D34:E34"/>
    <mergeCell ref="D35:E35"/>
    <mergeCell ref="D23:P23"/>
    <mergeCell ref="D24:E24"/>
    <mergeCell ref="D25:P25"/>
    <mergeCell ref="D27:E27"/>
    <mergeCell ref="D28:P28"/>
    <mergeCell ref="D44:P44"/>
    <mergeCell ref="D46:E46"/>
    <mergeCell ref="D47:E47"/>
    <mergeCell ref="D48:E48"/>
    <mergeCell ref="D49:E49"/>
    <mergeCell ref="D37:E37"/>
    <mergeCell ref="D39:E39"/>
    <mergeCell ref="D41:E41"/>
    <mergeCell ref="D42:E42"/>
    <mergeCell ref="D43:E43"/>
    <mergeCell ref="D57:E57"/>
    <mergeCell ref="D59:E59"/>
    <mergeCell ref="D61:E61"/>
    <mergeCell ref="D63:E63"/>
    <mergeCell ref="D65:E65"/>
    <mergeCell ref="D50:E50"/>
    <mergeCell ref="D51:P51"/>
    <mergeCell ref="D53:E53"/>
    <mergeCell ref="D54:P54"/>
    <mergeCell ref="D56:E56"/>
    <mergeCell ref="D74:P74"/>
    <mergeCell ref="D75:E75"/>
    <mergeCell ref="D76:P76"/>
    <mergeCell ref="D78:E78"/>
    <mergeCell ref="D79:P79"/>
    <mergeCell ref="D66:P66"/>
    <mergeCell ref="D68:E68"/>
    <mergeCell ref="D70:E70"/>
    <mergeCell ref="D71:E71"/>
    <mergeCell ref="D72:P72"/>
    <mergeCell ref="D89:P89"/>
    <mergeCell ref="D90:E90"/>
    <mergeCell ref="D91:P91"/>
    <mergeCell ref="D93:P93"/>
    <mergeCell ref="D94:E94"/>
    <mergeCell ref="D81:E81"/>
    <mergeCell ref="D82:P82"/>
    <mergeCell ref="D84:E84"/>
    <mergeCell ref="D85:E85"/>
    <mergeCell ref="D87:E87"/>
    <mergeCell ref="D102:P102"/>
    <mergeCell ref="D103:E103"/>
    <mergeCell ref="D104:E104"/>
    <mergeCell ref="D106:E106"/>
    <mergeCell ref="D107:E107"/>
    <mergeCell ref="D95:P95"/>
    <mergeCell ref="D97:E97"/>
    <mergeCell ref="D98:E98"/>
    <mergeCell ref="D99:P99"/>
    <mergeCell ref="D101:E101"/>
    <mergeCell ref="D114:P114"/>
    <mergeCell ref="D115:E115"/>
    <mergeCell ref="D116:E116"/>
    <mergeCell ref="D117:P117"/>
    <mergeCell ref="D118:E118"/>
    <mergeCell ref="D108:E108"/>
    <mergeCell ref="D109:P109"/>
    <mergeCell ref="D111:P111"/>
    <mergeCell ref="D112:E112"/>
    <mergeCell ref="D113:P113"/>
    <mergeCell ref="D124:P124"/>
    <mergeCell ref="D125:E125"/>
    <mergeCell ref="D127:E127"/>
    <mergeCell ref="D129:P129"/>
    <mergeCell ref="D130:E130"/>
    <mergeCell ref="D119:P119"/>
    <mergeCell ref="D120:E120"/>
    <mergeCell ref="D121:E121"/>
    <mergeCell ref="D122:E122"/>
    <mergeCell ref="D123:E123"/>
    <mergeCell ref="D137:E137"/>
    <mergeCell ref="D138:E138"/>
    <mergeCell ref="D139:E139"/>
    <mergeCell ref="D140:E140"/>
    <mergeCell ref="D141:E141"/>
    <mergeCell ref="D131:P131"/>
    <mergeCell ref="D132:E132"/>
    <mergeCell ref="D134:E134"/>
    <mergeCell ref="D135:E135"/>
    <mergeCell ref="D136:E136"/>
    <mergeCell ref="D150:E150"/>
    <mergeCell ref="D151:P151"/>
    <mergeCell ref="D152:E152"/>
    <mergeCell ref="D153:E153"/>
    <mergeCell ref="D154:P154"/>
    <mergeCell ref="D142:E142"/>
    <mergeCell ref="D144:E144"/>
    <mergeCell ref="D145:E145"/>
    <mergeCell ref="D147:E147"/>
    <mergeCell ref="D149:P149"/>
    <mergeCell ref="D163:E163"/>
    <mergeCell ref="D166:E166"/>
    <mergeCell ref="D168:E168"/>
    <mergeCell ref="D171:E171"/>
    <mergeCell ref="D172:E172"/>
    <mergeCell ref="D155:E155"/>
    <mergeCell ref="D156:E156"/>
    <mergeCell ref="D157:E157"/>
    <mergeCell ref="D159:E159"/>
    <mergeCell ref="D162:P162"/>
    <mergeCell ref="D178:E178"/>
    <mergeCell ref="D180:E180"/>
    <mergeCell ref="D182:E182"/>
    <mergeCell ref="D183:E183"/>
    <mergeCell ref="D184:E184"/>
    <mergeCell ref="D173:E173"/>
    <mergeCell ref="D174:E174"/>
    <mergeCell ref="D175:E175"/>
    <mergeCell ref="D176:P176"/>
    <mergeCell ref="D177:E177"/>
    <mergeCell ref="D192:E192"/>
    <mergeCell ref="D193:E193"/>
    <mergeCell ref="D194:E194"/>
    <mergeCell ref="D196:P196"/>
    <mergeCell ref="D197:E197"/>
    <mergeCell ref="D185:E185"/>
    <mergeCell ref="D186:P186"/>
    <mergeCell ref="D188:E188"/>
    <mergeCell ref="D189:E189"/>
    <mergeCell ref="D190:E190"/>
    <mergeCell ref="D205:E205"/>
    <mergeCell ref="D206:P206"/>
    <mergeCell ref="D208:E208"/>
    <mergeCell ref="D209:E209"/>
    <mergeCell ref="D210:E210"/>
    <mergeCell ref="D198:P198"/>
    <mergeCell ref="D200:E200"/>
    <mergeCell ref="D201:P201"/>
    <mergeCell ref="D203:E203"/>
    <mergeCell ref="D204:E204"/>
    <mergeCell ref="D216:E216"/>
    <mergeCell ref="D217:E217"/>
    <mergeCell ref="D219:E219"/>
    <mergeCell ref="D220:E220"/>
    <mergeCell ref="D222:E222"/>
    <mergeCell ref="D211:E211"/>
    <mergeCell ref="D212:E212"/>
    <mergeCell ref="D213:E213"/>
    <mergeCell ref="D214:E214"/>
    <mergeCell ref="D215:E215"/>
    <mergeCell ref="D232:P232"/>
    <mergeCell ref="D233:E233"/>
    <mergeCell ref="D234:E234"/>
    <mergeCell ref="D235:E235"/>
    <mergeCell ref="D236:P236"/>
    <mergeCell ref="D224:P224"/>
    <mergeCell ref="D225:E225"/>
    <mergeCell ref="D226:E226"/>
    <mergeCell ref="D227:E227"/>
    <mergeCell ref="D229:E229"/>
    <mergeCell ref="D244:E244"/>
    <mergeCell ref="D245:P245"/>
    <mergeCell ref="D246:P246"/>
    <mergeCell ref="D247:E247"/>
    <mergeCell ref="D248:P248"/>
    <mergeCell ref="D238:P238"/>
    <mergeCell ref="D239:E239"/>
    <mergeCell ref="D240:E240"/>
    <mergeCell ref="D242:P242"/>
    <mergeCell ref="D243:E243"/>
    <mergeCell ref="D254:E254"/>
    <mergeCell ref="D255:P255"/>
    <mergeCell ref="D256:E256"/>
    <mergeCell ref="D257:P257"/>
    <mergeCell ref="D258:P258"/>
    <mergeCell ref="D249:E249"/>
    <mergeCell ref="D250:E250"/>
    <mergeCell ref="D251:E251"/>
    <mergeCell ref="D252:E252"/>
    <mergeCell ref="D253:P253"/>
    <mergeCell ref="D265:E265"/>
    <mergeCell ref="D266:P266"/>
    <mergeCell ref="D268:E268"/>
    <mergeCell ref="D269:P269"/>
    <mergeCell ref="D270:P270"/>
    <mergeCell ref="D259:E259"/>
    <mergeCell ref="D260:E260"/>
    <mergeCell ref="D261:P261"/>
    <mergeCell ref="D262:E262"/>
    <mergeCell ref="D263:P263"/>
    <mergeCell ref="D276:P276"/>
    <mergeCell ref="D277:E277"/>
    <mergeCell ref="D278:P278"/>
    <mergeCell ref="D280:E280"/>
    <mergeCell ref="D281:P281"/>
    <mergeCell ref="D271:E271"/>
    <mergeCell ref="D272:E272"/>
    <mergeCell ref="D273:E273"/>
    <mergeCell ref="D274:E274"/>
    <mergeCell ref="D275:E275"/>
    <mergeCell ref="D288:P288"/>
    <mergeCell ref="D289:E289"/>
    <mergeCell ref="D290:P290"/>
    <mergeCell ref="D291:E291"/>
    <mergeCell ref="D292:P292"/>
    <mergeCell ref="D282:E282"/>
    <mergeCell ref="D284:E284"/>
    <mergeCell ref="D285:P285"/>
    <mergeCell ref="D286:E286"/>
    <mergeCell ref="D287:E287"/>
    <mergeCell ref="D298:E298"/>
    <mergeCell ref="D299:E299"/>
    <mergeCell ref="D300:P300"/>
    <mergeCell ref="D302:E302"/>
    <mergeCell ref="D303:P303"/>
    <mergeCell ref="D293:E293"/>
    <mergeCell ref="D294:E294"/>
    <mergeCell ref="D295:P295"/>
    <mergeCell ref="D296:E296"/>
    <mergeCell ref="D297:P297"/>
    <mergeCell ref="D310:E310"/>
    <mergeCell ref="D311:P311"/>
    <mergeCell ref="D312:E312"/>
    <mergeCell ref="D313:P313"/>
    <mergeCell ref="D314:E314"/>
    <mergeCell ref="D304:E304"/>
    <mergeCell ref="D305:P305"/>
    <mergeCell ref="D307:E307"/>
    <mergeCell ref="D308:P308"/>
    <mergeCell ref="D309:E309"/>
    <mergeCell ref="D321:E321"/>
    <mergeCell ref="D322:P322"/>
    <mergeCell ref="D323:E323"/>
    <mergeCell ref="D324:P324"/>
    <mergeCell ref="D325:E325"/>
    <mergeCell ref="D315:P315"/>
    <mergeCell ref="D317:E317"/>
    <mergeCell ref="D318:P318"/>
    <mergeCell ref="D319:E319"/>
    <mergeCell ref="D320:P320"/>
    <mergeCell ref="D331:E331"/>
    <mergeCell ref="D332:E332"/>
    <mergeCell ref="D333:P333"/>
    <mergeCell ref="D334:E334"/>
    <mergeCell ref="D335:E335"/>
    <mergeCell ref="D326:E326"/>
    <mergeCell ref="D327:P327"/>
    <mergeCell ref="D328:E328"/>
    <mergeCell ref="D329:E329"/>
    <mergeCell ref="D330:P330"/>
    <mergeCell ref="D343:P343"/>
    <mergeCell ref="D344:E344"/>
    <mergeCell ref="D345:P345"/>
    <mergeCell ref="D346:E346"/>
    <mergeCell ref="D347:P347"/>
    <mergeCell ref="D338:E338"/>
    <mergeCell ref="D339:E339"/>
    <mergeCell ref="D340:E340"/>
    <mergeCell ref="D341:P341"/>
    <mergeCell ref="D342:E342"/>
    <mergeCell ref="D353:P353"/>
    <mergeCell ref="D354:E354"/>
    <mergeCell ref="D355:P355"/>
    <mergeCell ref="D356:E356"/>
    <mergeCell ref="D357:P357"/>
    <mergeCell ref="D348:E348"/>
    <mergeCell ref="D349:P349"/>
    <mergeCell ref="D350:E350"/>
    <mergeCell ref="D351:P351"/>
    <mergeCell ref="D352:E352"/>
    <mergeCell ref="J368:K368"/>
    <mergeCell ref="A370:P370"/>
    <mergeCell ref="D363:P363"/>
    <mergeCell ref="D364:E364"/>
    <mergeCell ref="D365:E365"/>
    <mergeCell ref="D366:E366"/>
    <mergeCell ref="D367:P367"/>
    <mergeCell ref="D358:E358"/>
    <mergeCell ref="D359:P359"/>
    <mergeCell ref="D360:E360"/>
    <mergeCell ref="D361:P361"/>
    <mergeCell ref="D362:E362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workbookViewId="0">
      <pane ySplit="11" topLeftCell="A12" activePane="bottomLeft" state="frozen"/>
      <selection pane="bottomLeft" activeCell="A19" sqref="A19:L19"/>
    </sheetView>
  </sheetViews>
  <sheetFormatPr defaultColWidth="12.15234375" defaultRowHeight="15" customHeight="1" x14ac:dyDescent="0.4"/>
  <cols>
    <col min="1" max="1" width="7.53515625" customWidth="1"/>
    <col min="2" max="8" width="15.69140625" customWidth="1"/>
    <col min="9" max="12" width="14.3046875" customWidth="1"/>
    <col min="13" max="16" width="12.15234375" hidden="1"/>
  </cols>
  <sheetData>
    <row r="1" spans="1:16" ht="54.75" customHeight="1" x14ac:dyDescent="0.4">
      <c r="A1" s="117" t="s">
        <v>695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6" ht="14.6" x14ac:dyDescent="0.4">
      <c r="A2" s="118" t="s">
        <v>1</v>
      </c>
      <c r="B2" s="110"/>
      <c r="C2" s="110"/>
      <c r="D2" s="122" t="str">
        <f>'Stavební rozpočet'!D2</f>
        <v>Rekonstrukce, úpravy a rozš. stáv. zpev. i nezpev. ploch k parkování - část sídliště U Hřbitova</v>
      </c>
      <c r="E2" s="123"/>
      <c r="F2" s="123"/>
      <c r="G2" s="109" t="s">
        <v>3</v>
      </c>
      <c r="H2" s="109" t="str">
        <f>'Stavební rozpočet'!H2</f>
        <v xml:space="preserve"> </v>
      </c>
      <c r="I2" s="109" t="s">
        <v>5</v>
      </c>
      <c r="J2" s="109" t="str">
        <f>'Stavební rozpočet'!J2</f>
        <v>Statutární město Jihlava</v>
      </c>
      <c r="K2" s="110"/>
      <c r="L2" s="111"/>
    </row>
    <row r="3" spans="1:16" ht="15" customHeight="1" x14ac:dyDescent="0.4">
      <c r="A3" s="119"/>
      <c r="B3" s="85"/>
      <c r="C3" s="85"/>
      <c r="D3" s="124"/>
      <c r="E3" s="124"/>
      <c r="F3" s="124"/>
      <c r="G3" s="85"/>
      <c r="H3" s="85"/>
      <c r="I3" s="85"/>
      <c r="J3" s="85"/>
      <c r="K3" s="85"/>
      <c r="L3" s="112"/>
    </row>
    <row r="4" spans="1:16" ht="14.6" x14ac:dyDescent="0.4">
      <c r="A4" s="120" t="s">
        <v>7</v>
      </c>
      <c r="B4" s="85"/>
      <c r="C4" s="85"/>
      <c r="D4" s="84" t="str">
        <f>'Stavební rozpočet'!D4</f>
        <v>SO 111.1 - Rozš.vozovky před BD U Hřbitova 2-10, SO 111.2 Parkoviště u BD 2-10, SO 401 VO</v>
      </c>
      <c r="E4" s="85"/>
      <c r="F4" s="85"/>
      <c r="G4" s="84" t="s">
        <v>9</v>
      </c>
      <c r="H4" s="84" t="str">
        <f>'Stavební rozpočet'!H4</f>
        <v xml:space="preserve"> </v>
      </c>
      <c r="I4" s="84" t="s">
        <v>10</v>
      </c>
      <c r="J4" s="84" t="str">
        <f>'Stavební rozpočet'!J4</f>
        <v> </v>
      </c>
      <c r="K4" s="85"/>
      <c r="L4" s="112"/>
    </row>
    <row r="5" spans="1:16" ht="15" customHeight="1" x14ac:dyDescent="0.4">
      <c r="A5" s="119"/>
      <c r="B5" s="85"/>
      <c r="C5" s="85"/>
      <c r="D5" s="85"/>
      <c r="E5" s="85"/>
      <c r="F5" s="85"/>
      <c r="G5" s="85"/>
      <c r="H5" s="85"/>
      <c r="I5" s="85"/>
      <c r="J5" s="85"/>
      <c r="K5" s="85"/>
      <c r="L5" s="112"/>
    </row>
    <row r="6" spans="1:16" ht="14.6" x14ac:dyDescent="0.4">
      <c r="A6" s="120" t="s">
        <v>12</v>
      </c>
      <c r="B6" s="85"/>
      <c r="C6" s="85"/>
      <c r="D6" s="84" t="str">
        <f>'Stavební rozpočet'!D6</f>
        <v>Jihlava</v>
      </c>
      <c r="E6" s="85"/>
      <c r="F6" s="85"/>
      <c r="G6" s="84" t="s">
        <v>14</v>
      </c>
      <c r="H6" s="84" t="str">
        <f>'Stavební rozpočet'!H6</f>
        <v xml:space="preserve"> </v>
      </c>
      <c r="I6" s="84" t="s">
        <v>15</v>
      </c>
      <c r="J6" s="84" t="str">
        <f>'Stavební rozpočet'!J6</f>
        <v>dle výběrového řízení</v>
      </c>
      <c r="K6" s="85"/>
      <c r="L6" s="112"/>
    </row>
    <row r="7" spans="1:16" ht="15" customHeight="1" x14ac:dyDescent="0.4">
      <c r="A7" s="119"/>
      <c r="B7" s="85"/>
      <c r="C7" s="85"/>
      <c r="D7" s="85"/>
      <c r="E7" s="85"/>
      <c r="F7" s="85"/>
      <c r="G7" s="85"/>
      <c r="H7" s="85"/>
      <c r="I7" s="85"/>
      <c r="J7" s="85"/>
      <c r="K7" s="85"/>
      <c r="L7" s="112"/>
    </row>
    <row r="8" spans="1:16" ht="14.6" x14ac:dyDescent="0.4">
      <c r="A8" s="120" t="s">
        <v>17</v>
      </c>
      <c r="B8" s="85"/>
      <c r="C8" s="85"/>
      <c r="D8" s="84" t="str">
        <f>'Stavební rozpočet'!D8</f>
        <v xml:space="preserve"> </v>
      </c>
      <c r="E8" s="85"/>
      <c r="F8" s="85"/>
      <c r="G8" s="84" t="s">
        <v>18</v>
      </c>
      <c r="H8" s="84" t="str">
        <f>'Stavební rozpočet'!H8</f>
        <v>09.09.2024</v>
      </c>
      <c r="I8" s="84" t="s">
        <v>20</v>
      </c>
      <c r="J8" s="84" t="str">
        <f>'Stavební rozpočet'!J8</f>
        <v>Ing. Petr Kristýnek</v>
      </c>
      <c r="K8" s="85"/>
      <c r="L8" s="112"/>
    </row>
    <row r="9" spans="1:16" ht="14.6" x14ac:dyDescent="0.4">
      <c r="A9" s="121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4"/>
    </row>
    <row r="10" spans="1:16" ht="14.6" x14ac:dyDescent="0.4">
      <c r="A10" s="50" t="s">
        <v>4</v>
      </c>
      <c r="B10" s="129" t="s">
        <v>4</v>
      </c>
      <c r="C10" s="130"/>
      <c r="D10" s="130"/>
      <c r="E10" s="130"/>
      <c r="F10" s="130"/>
      <c r="G10" s="130"/>
      <c r="H10" s="131"/>
      <c r="I10" s="102" t="s">
        <v>30</v>
      </c>
      <c r="J10" s="103"/>
      <c r="K10" s="104"/>
      <c r="L10" s="10" t="s">
        <v>31</v>
      </c>
    </row>
    <row r="11" spans="1:16" ht="14.6" x14ac:dyDescent="0.4">
      <c r="A11" s="51" t="s">
        <v>23</v>
      </c>
      <c r="B11" s="100" t="s">
        <v>696</v>
      </c>
      <c r="C11" s="126"/>
      <c r="D11" s="126"/>
      <c r="E11" s="126"/>
      <c r="F11" s="126"/>
      <c r="G11" s="126"/>
      <c r="H11" s="127"/>
      <c r="I11" s="18" t="s">
        <v>38</v>
      </c>
      <c r="J11" s="19" t="s">
        <v>39</v>
      </c>
      <c r="K11" s="20" t="s">
        <v>40</v>
      </c>
      <c r="L11" s="21" t="s">
        <v>40</v>
      </c>
    </row>
    <row r="12" spans="1:16" ht="14.6" x14ac:dyDescent="0.4">
      <c r="A12" s="52" t="s">
        <v>57</v>
      </c>
      <c r="B12" s="128" t="s">
        <v>58</v>
      </c>
      <c r="C12" s="128"/>
      <c r="D12" s="128"/>
      <c r="E12" s="128"/>
      <c r="F12" s="128"/>
      <c r="G12" s="128"/>
      <c r="H12" s="128"/>
      <c r="I12" s="53">
        <f>'Stavební rozpočet'!J12</f>
        <v>0</v>
      </c>
      <c r="J12" s="53">
        <f>'Stavební rozpočet'!K12</f>
        <v>0</v>
      </c>
      <c r="K12" s="53">
        <f>'Stavební rozpočet'!L12</f>
        <v>0</v>
      </c>
      <c r="L12" s="54">
        <f>'Stavební rozpočet'!O12</f>
        <v>439.73789799999997</v>
      </c>
      <c r="M12" s="55" t="s">
        <v>697</v>
      </c>
      <c r="N12" s="35">
        <f>IF(M12="F",0,K12)</f>
        <v>0</v>
      </c>
      <c r="O12" s="3" t="s">
        <v>57</v>
      </c>
      <c r="P12" s="35">
        <f>IF(M12="T",0,K12)</f>
        <v>0</v>
      </c>
    </row>
    <row r="13" spans="1:16" ht="14.6" x14ac:dyDescent="0.4">
      <c r="A13" s="2" t="s">
        <v>382</v>
      </c>
      <c r="B13" s="85" t="s">
        <v>383</v>
      </c>
      <c r="C13" s="85"/>
      <c r="D13" s="85"/>
      <c r="E13" s="85"/>
      <c r="F13" s="85"/>
      <c r="G13" s="85"/>
      <c r="H13" s="85"/>
      <c r="I13" s="35">
        <f>'Stavební rozpočet'!J171</f>
        <v>0</v>
      </c>
      <c r="J13" s="35">
        <f>'Stavební rozpočet'!K171</f>
        <v>0</v>
      </c>
      <c r="K13" s="35">
        <f>'Stavební rozpočet'!L171</f>
        <v>0</v>
      </c>
      <c r="L13" s="56">
        <f>'Stavební rozpočet'!O171</f>
        <v>288.85029500000002</v>
      </c>
      <c r="M13" s="55" t="s">
        <v>697</v>
      </c>
      <c r="N13" s="35">
        <f>IF(M13="F",0,K13)</f>
        <v>0</v>
      </c>
      <c r="O13" s="3" t="s">
        <v>382</v>
      </c>
      <c r="P13" s="35">
        <f>IF(M13="T",0,K13)</f>
        <v>0</v>
      </c>
    </row>
    <row r="14" spans="1:16" ht="14.6" x14ac:dyDescent="0.4">
      <c r="A14" s="2" t="s">
        <v>438</v>
      </c>
      <c r="B14" s="85" t="s">
        <v>439</v>
      </c>
      <c r="C14" s="85"/>
      <c r="D14" s="85"/>
      <c r="E14" s="85"/>
      <c r="F14" s="85"/>
      <c r="G14" s="85"/>
      <c r="H14" s="85"/>
      <c r="I14" s="35">
        <f>'Stavební rozpočet'!J233</f>
        <v>0</v>
      </c>
      <c r="J14" s="35">
        <f>'Stavební rozpočet'!K233</f>
        <v>0</v>
      </c>
      <c r="K14" s="35">
        <f>'Stavební rozpočet'!L233</f>
        <v>0</v>
      </c>
      <c r="L14" s="56">
        <f>'Stavební rozpočet'!O233</f>
        <v>54.272346999999996</v>
      </c>
      <c r="M14" s="55" t="s">
        <v>697</v>
      </c>
      <c r="N14" s="35">
        <f>IF(M14="F",0,K14)</f>
        <v>0</v>
      </c>
      <c r="O14" s="3" t="s">
        <v>438</v>
      </c>
      <c r="P14" s="35">
        <f>IF(M14="T",0,K14)</f>
        <v>0</v>
      </c>
    </row>
    <row r="15" spans="1:16" ht="14.6" x14ac:dyDescent="0.4">
      <c r="A15" s="2" t="s">
        <v>640</v>
      </c>
      <c r="B15" s="85" t="s">
        <v>641</v>
      </c>
      <c r="C15" s="85"/>
      <c r="D15" s="85"/>
      <c r="E15" s="85"/>
      <c r="F15" s="85"/>
      <c r="G15" s="85"/>
      <c r="H15" s="85"/>
      <c r="I15" s="35">
        <f>'Stavební rozpočet'!J338</f>
        <v>0</v>
      </c>
      <c r="J15" s="35">
        <f>'Stavební rozpočet'!K338</f>
        <v>0</v>
      </c>
      <c r="K15" s="35">
        <f>'Stavební rozpočet'!L338</f>
        <v>0</v>
      </c>
      <c r="L15" s="56">
        <f>'Stavební rozpočet'!O338</f>
        <v>0</v>
      </c>
      <c r="M15" s="55" t="s">
        <v>697</v>
      </c>
      <c r="N15" s="35">
        <f>IF(M15="F",0,K15)</f>
        <v>0</v>
      </c>
      <c r="O15" s="3" t="s">
        <v>640</v>
      </c>
      <c r="P15" s="35">
        <f>IF(M15="T",0,K15)</f>
        <v>0</v>
      </c>
    </row>
    <row r="16" spans="1:16" ht="14.6" x14ac:dyDescent="0.4">
      <c r="A16" s="57" t="s">
        <v>686</v>
      </c>
      <c r="B16" s="125" t="s">
        <v>687</v>
      </c>
      <c r="C16" s="125"/>
      <c r="D16" s="125"/>
      <c r="E16" s="125"/>
      <c r="F16" s="125"/>
      <c r="G16" s="125"/>
      <c r="H16" s="125"/>
      <c r="I16" s="58">
        <f>'Stavební rozpočet'!J364</f>
        <v>0</v>
      </c>
      <c r="J16" s="58">
        <f>'Stavební rozpočet'!K364</f>
        <v>0</v>
      </c>
      <c r="K16" s="58">
        <f>'Stavební rozpočet'!L364</f>
        <v>0</v>
      </c>
      <c r="L16" s="59">
        <f>'Stavební rozpočet'!O364</f>
        <v>0</v>
      </c>
      <c r="M16" s="55" t="s">
        <v>697</v>
      </c>
      <c r="N16" s="35">
        <f>IF(M16="F",0,K16)</f>
        <v>0</v>
      </c>
      <c r="O16" s="3" t="s">
        <v>686</v>
      </c>
      <c r="P16" s="35">
        <f>IF(M16="T",0,K16)</f>
        <v>0</v>
      </c>
    </row>
    <row r="17" spans="1:12" ht="14.6" x14ac:dyDescent="0.4">
      <c r="I17" s="83" t="s">
        <v>693</v>
      </c>
      <c r="J17" s="83"/>
      <c r="K17" s="48">
        <f>SUM(P12:P16)</f>
        <v>0</v>
      </c>
    </row>
    <row r="18" spans="1:12" ht="14.6" x14ac:dyDescent="0.4">
      <c r="A18" s="49" t="s">
        <v>85</v>
      </c>
    </row>
    <row r="19" spans="1:12" ht="13.5" customHeight="1" x14ac:dyDescent="0.4">
      <c r="A19" s="84" t="s">
        <v>694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</row>
  </sheetData>
  <sheetProtection algorithmName="SHA-512" hashValue="GbFFamm4JCK37Frkf8H3TzXOVpS72VXlp2P/dIVqMvsNeuhcF0QnGa1Yhebl+0/eFrCaDxP9TwxkboFhk5/pjA==" saltValue="sLzIohMp9NyXBpGPXIpeZA==" spinCount="100000" sheet="1" objects="1" scenarios="1"/>
  <mergeCells count="35">
    <mergeCell ref="A1:L1"/>
    <mergeCell ref="A2:C3"/>
    <mergeCell ref="A4:C5"/>
    <mergeCell ref="A6:C7"/>
    <mergeCell ref="A8:C9"/>
    <mergeCell ref="D2:F3"/>
    <mergeCell ref="D4:F5"/>
    <mergeCell ref="D6:F7"/>
    <mergeCell ref="D8:F9"/>
    <mergeCell ref="G2:G3"/>
    <mergeCell ref="G4:G5"/>
    <mergeCell ref="G6:G7"/>
    <mergeCell ref="G8:G9"/>
    <mergeCell ref="H2:H3"/>
    <mergeCell ref="H4:H5"/>
    <mergeCell ref="H6:H7"/>
    <mergeCell ref="I10:K10"/>
    <mergeCell ref="B12:H12"/>
    <mergeCell ref="B13:H13"/>
    <mergeCell ref="B14:H14"/>
    <mergeCell ref="J2:L3"/>
    <mergeCell ref="J4:L5"/>
    <mergeCell ref="J6:L7"/>
    <mergeCell ref="J8:L9"/>
    <mergeCell ref="B10:H10"/>
    <mergeCell ref="H8:H9"/>
    <mergeCell ref="I2:I3"/>
    <mergeCell ref="I4:I5"/>
    <mergeCell ref="I6:I7"/>
    <mergeCell ref="I8:I9"/>
    <mergeCell ref="B15:H15"/>
    <mergeCell ref="B16:H16"/>
    <mergeCell ref="I17:J17"/>
    <mergeCell ref="A19:L19"/>
    <mergeCell ref="B11:H1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A37" sqref="A37:I37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7.15234375" customWidth="1"/>
    <col min="4" max="4" width="10" customWidth="1"/>
    <col min="5" max="5" width="14" customWidth="1"/>
    <col min="6" max="6" width="27.15234375" customWidth="1"/>
    <col min="7" max="7" width="9.15234375" customWidth="1"/>
    <col min="8" max="8" width="12.84375" customWidth="1"/>
    <col min="9" max="9" width="27.15234375" customWidth="1"/>
  </cols>
  <sheetData>
    <row r="1" spans="1:9" ht="54.75" customHeight="1" x14ac:dyDescent="0.4">
      <c r="A1" s="168" t="s">
        <v>698</v>
      </c>
      <c r="B1" s="117"/>
      <c r="C1" s="117"/>
      <c r="D1" s="117"/>
      <c r="E1" s="117"/>
      <c r="F1" s="117"/>
      <c r="G1" s="117"/>
      <c r="H1" s="117"/>
      <c r="I1" s="117"/>
    </row>
    <row r="2" spans="1:9" ht="14.6" x14ac:dyDescent="0.4">
      <c r="A2" s="118" t="s">
        <v>1</v>
      </c>
      <c r="B2" s="110"/>
      <c r="C2" s="122" t="str">
        <f>'Stavební rozpočet'!D2</f>
        <v>Rekonstrukce, úpravy a rozš. stáv. zpev. i nezpev. ploch k parkování - část sídliště U Hřbitova</v>
      </c>
      <c r="D2" s="123"/>
      <c r="E2" s="109" t="s">
        <v>5</v>
      </c>
      <c r="F2" s="109" t="str">
        <f>'Stavební rozpočet'!J2</f>
        <v>Statutární město Jihlava</v>
      </c>
      <c r="G2" s="110"/>
      <c r="H2" s="109" t="s">
        <v>699</v>
      </c>
      <c r="I2" s="111" t="s">
        <v>700</v>
      </c>
    </row>
    <row r="3" spans="1:9" ht="25.5" customHeight="1" x14ac:dyDescent="0.4">
      <c r="A3" s="119"/>
      <c r="B3" s="85"/>
      <c r="C3" s="124"/>
      <c r="D3" s="124"/>
      <c r="E3" s="85"/>
      <c r="F3" s="85"/>
      <c r="G3" s="85"/>
      <c r="H3" s="85"/>
      <c r="I3" s="112"/>
    </row>
    <row r="4" spans="1:9" ht="14.6" x14ac:dyDescent="0.4">
      <c r="A4" s="120" t="s">
        <v>7</v>
      </c>
      <c r="B4" s="85"/>
      <c r="C4" s="84" t="str">
        <f>'Stavební rozpočet'!D4</f>
        <v>SO 111.1 - Rozš.vozovky před BD U Hřbitova 2-10, SO 111.2 Parkoviště u BD 2-10, SO 401 VO</v>
      </c>
      <c r="D4" s="85"/>
      <c r="E4" s="84" t="s">
        <v>10</v>
      </c>
      <c r="F4" s="84" t="str">
        <f>'Stavební rozpočet'!J4</f>
        <v> </v>
      </c>
      <c r="G4" s="85"/>
      <c r="H4" s="84" t="s">
        <v>699</v>
      </c>
      <c r="I4" s="112" t="s">
        <v>56</v>
      </c>
    </row>
    <row r="5" spans="1:9" ht="25.5" customHeight="1" x14ac:dyDescent="0.4">
      <c r="A5" s="119"/>
      <c r="B5" s="85"/>
      <c r="C5" s="85"/>
      <c r="D5" s="85"/>
      <c r="E5" s="85"/>
      <c r="F5" s="85"/>
      <c r="G5" s="85"/>
      <c r="H5" s="85"/>
      <c r="I5" s="112"/>
    </row>
    <row r="6" spans="1:9" ht="14.6" x14ac:dyDescent="0.4">
      <c r="A6" s="120" t="s">
        <v>12</v>
      </c>
      <c r="B6" s="85"/>
      <c r="C6" s="84" t="str">
        <f>'Stavební rozpočet'!D6</f>
        <v>Jihlava</v>
      </c>
      <c r="D6" s="85"/>
      <c r="E6" s="84" t="s">
        <v>15</v>
      </c>
      <c r="F6" s="84" t="str">
        <f>'Stavební rozpočet'!J6</f>
        <v>dle výběrového řízení</v>
      </c>
      <c r="G6" s="85"/>
      <c r="H6" s="84" t="s">
        <v>699</v>
      </c>
      <c r="I6" s="112" t="s">
        <v>56</v>
      </c>
    </row>
    <row r="7" spans="1:9" ht="15" customHeight="1" x14ac:dyDescent="0.4">
      <c r="A7" s="119"/>
      <c r="B7" s="85"/>
      <c r="C7" s="85"/>
      <c r="D7" s="85"/>
      <c r="E7" s="85"/>
      <c r="F7" s="85"/>
      <c r="G7" s="85"/>
      <c r="H7" s="85"/>
      <c r="I7" s="112"/>
    </row>
    <row r="8" spans="1:9" ht="14.6" x14ac:dyDescent="0.4">
      <c r="A8" s="120" t="s">
        <v>9</v>
      </c>
      <c r="B8" s="85"/>
      <c r="C8" s="84" t="str">
        <f>'Stavební rozpočet'!H4</f>
        <v xml:space="preserve"> </v>
      </c>
      <c r="D8" s="85"/>
      <c r="E8" s="84" t="s">
        <v>14</v>
      </c>
      <c r="F8" s="84" t="str">
        <f>'Stavební rozpočet'!H6</f>
        <v xml:space="preserve"> </v>
      </c>
      <c r="G8" s="85"/>
      <c r="H8" s="85" t="s">
        <v>701</v>
      </c>
      <c r="I8" s="169">
        <v>151</v>
      </c>
    </row>
    <row r="9" spans="1:9" ht="14.6" x14ac:dyDescent="0.4">
      <c r="A9" s="119"/>
      <c r="B9" s="85"/>
      <c r="C9" s="85"/>
      <c r="D9" s="85"/>
      <c r="E9" s="85"/>
      <c r="F9" s="85"/>
      <c r="G9" s="85"/>
      <c r="H9" s="85"/>
      <c r="I9" s="112"/>
    </row>
    <row r="10" spans="1:9" ht="14.6" x14ac:dyDescent="0.4">
      <c r="A10" s="120" t="s">
        <v>17</v>
      </c>
      <c r="B10" s="85"/>
      <c r="C10" s="84" t="str">
        <f>'Stavební rozpočet'!D8</f>
        <v xml:space="preserve"> </v>
      </c>
      <c r="D10" s="85"/>
      <c r="E10" s="84" t="s">
        <v>20</v>
      </c>
      <c r="F10" s="84" t="str">
        <f>'Stavební rozpočet'!J8</f>
        <v>Ing. Petr Kristýnek</v>
      </c>
      <c r="G10" s="85"/>
      <c r="H10" s="85" t="s">
        <v>702</v>
      </c>
      <c r="I10" s="162" t="str">
        <f>'Stavební rozpočet'!H8</f>
        <v>09.09.2024</v>
      </c>
    </row>
    <row r="11" spans="1:9" ht="14.6" x14ac:dyDescent="0.4">
      <c r="A11" s="167"/>
      <c r="B11" s="125"/>
      <c r="C11" s="125"/>
      <c r="D11" s="125"/>
      <c r="E11" s="125"/>
      <c r="F11" s="125"/>
      <c r="G11" s="125"/>
      <c r="H11" s="125"/>
      <c r="I11" s="163"/>
    </row>
    <row r="12" spans="1:9" ht="22.75" x14ac:dyDescent="0.4">
      <c r="A12" s="164" t="s">
        <v>703</v>
      </c>
      <c r="B12" s="164"/>
      <c r="C12" s="164"/>
      <c r="D12" s="164"/>
      <c r="E12" s="164"/>
      <c r="F12" s="164"/>
      <c r="G12" s="164"/>
      <c r="H12" s="164"/>
      <c r="I12" s="164"/>
    </row>
    <row r="13" spans="1:9" ht="26.25" customHeight="1" x14ac:dyDescent="0.4">
      <c r="A13" s="60" t="s">
        <v>704</v>
      </c>
      <c r="B13" s="165" t="s">
        <v>705</v>
      </c>
      <c r="C13" s="166"/>
      <c r="D13" s="61" t="s">
        <v>706</v>
      </c>
      <c r="E13" s="165" t="s">
        <v>707</v>
      </c>
      <c r="F13" s="166"/>
      <c r="G13" s="61" t="s">
        <v>708</v>
      </c>
      <c r="H13" s="165" t="s">
        <v>709</v>
      </c>
      <c r="I13" s="166"/>
    </row>
    <row r="14" spans="1:9" ht="15.45" x14ac:dyDescent="0.4">
      <c r="A14" s="62" t="s">
        <v>710</v>
      </c>
      <c r="B14" s="63" t="s">
        <v>711</v>
      </c>
      <c r="C14" s="64">
        <f>SUM('Stavební rozpočet'!AB12:AB367)</f>
        <v>0</v>
      </c>
      <c r="D14" s="152" t="s">
        <v>712</v>
      </c>
      <c r="E14" s="153"/>
      <c r="F14" s="64">
        <f>VORN!I15</f>
        <v>0</v>
      </c>
      <c r="G14" s="152" t="s">
        <v>713</v>
      </c>
      <c r="H14" s="153"/>
      <c r="I14" s="64">
        <f>VORN!I21</f>
        <v>0</v>
      </c>
    </row>
    <row r="15" spans="1:9" ht="15.45" x14ac:dyDescent="0.4">
      <c r="A15" s="65" t="s">
        <v>56</v>
      </c>
      <c r="B15" s="63" t="s">
        <v>39</v>
      </c>
      <c r="C15" s="64">
        <f>SUM('Stavební rozpočet'!AC12:AC367)</f>
        <v>0</v>
      </c>
      <c r="D15" s="152" t="s">
        <v>714</v>
      </c>
      <c r="E15" s="153"/>
      <c r="F15" s="64">
        <f>VORN!I16</f>
        <v>0</v>
      </c>
      <c r="G15" s="152" t="s">
        <v>715</v>
      </c>
      <c r="H15" s="153"/>
      <c r="I15" s="64">
        <f>VORN!I22</f>
        <v>0</v>
      </c>
    </row>
    <row r="16" spans="1:9" ht="15.45" x14ac:dyDescent="0.4">
      <c r="A16" s="62" t="s">
        <v>716</v>
      </c>
      <c r="B16" s="63" t="s">
        <v>711</v>
      </c>
      <c r="C16" s="64">
        <f>SUM('Stavební rozpočet'!AD12:AD367)</f>
        <v>0</v>
      </c>
      <c r="D16" s="152" t="s">
        <v>717</v>
      </c>
      <c r="E16" s="153"/>
      <c r="F16" s="64">
        <f>VORN!I17</f>
        <v>0</v>
      </c>
      <c r="G16" s="152" t="s">
        <v>718</v>
      </c>
      <c r="H16" s="153"/>
      <c r="I16" s="64">
        <f>VORN!I23</f>
        <v>0</v>
      </c>
    </row>
    <row r="17" spans="1:9" ht="15.45" x14ac:dyDescent="0.4">
      <c r="A17" s="65" t="s">
        <v>56</v>
      </c>
      <c r="B17" s="63" t="s">
        <v>39</v>
      </c>
      <c r="C17" s="64">
        <f>SUM('Stavební rozpočet'!AE12:AE367)</f>
        <v>0</v>
      </c>
      <c r="D17" s="152" t="s">
        <v>56</v>
      </c>
      <c r="E17" s="153"/>
      <c r="F17" s="66" t="s">
        <v>56</v>
      </c>
      <c r="G17" s="152" t="s">
        <v>719</v>
      </c>
      <c r="H17" s="153"/>
      <c r="I17" s="64">
        <f>VORN!I24</f>
        <v>0</v>
      </c>
    </row>
    <row r="18" spans="1:9" ht="15.45" x14ac:dyDescent="0.4">
      <c r="A18" s="62" t="s">
        <v>720</v>
      </c>
      <c r="B18" s="63" t="s">
        <v>711</v>
      </c>
      <c r="C18" s="64">
        <f>SUM('Stavební rozpočet'!AF12:AF367)</f>
        <v>0</v>
      </c>
      <c r="D18" s="152" t="s">
        <v>56</v>
      </c>
      <c r="E18" s="153"/>
      <c r="F18" s="66" t="s">
        <v>56</v>
      </c>
      <c r="G18" s="152" t="s">
        <v>721</v>
      </c>
      <c r="H18" s="153"/>
      <c r="I18" s="64">
        <f>VORN!I25</f>
        <v>0</v>
      </c>
    </row>
    <row r="19" spans="1:9" ht="15.45" x14ac:dyDescent="0.4">
      <c r="A19" s="65" t="s">
        <v>56</v>
      </c>
      <c r="B19" s="63" t="s">
        <v>39</v>
      </c>
      <c r="C19" s="64">
        <f>SUM('Stavební rozpočet'!AG12:AG367)</f>
        <v>0</v>
      </c>
      <c r="D19" s="152" t="s">
        <v>56</v>
      </c>
      <c r="E19" s="153"/>
      <c r="F19" s="66" t="s">
        <v>56</v>
      </c>
      <c r="G19" s="152" t="s">
        <v>722</v>
      </c>
      <c r="H19" s="153"/>
      <c r="I19" s="64">
        <f>VORN!I26</f>
        <v>0</v>
      </c>
    </row>
    <row r="20" spans="1:9" ht="15.45" x14ac:dyDescent="0.4">
      <c r="A20" s="144" t="s">
        <v>352</v>
      </c>
      <c r="B20" s="145"/>
      <c r="C20" s="64">
        <f>SUM('Stavební rozpočet'!AH12:AH367)</f>
        <v>0</v>
      </c>
      <c r="D20" s="152" t="s">
        <v>56</v>
      </c>
      <c r="E20" s="153"/>
      <c r="F20" s="66" t="s">
        <v>56</v>
      </c>
      <c r="G20" s="152" t="s">
        <v>56</v>
      </c>
      <c r="H20" s="153"/>
      <c r="I20" s="66" t="s">
        <v>56</v>
      </c>
    </row>
    <row r="21" spans="1:9" ht="15.45" x14ac:dyDescent="0.4">
      <c r="A21" s="159" t="s">
        <v>723</v>
      </c>
      <c r="B21" s="160"/>
      <c r="C21" s="67">
        <f>SUM('Stavební rozpočet'!Z12:Z367)</f>
        <v>0</v>
      </c>
      <c r="D21" s="154" t="s">
        <v>56</v>
      </c>
      <c r="E21" s="155"/>
      <c r="F21" s="68" t="s">
        <v>56</v>
      </c>
      <c r="G21" s="154" t="s">
        <v>56</v>
      </c>
      <c r="H21" s="155"/>
      <c r="I21" s="68" t="s">
        <v>56</v>
      </c>
    </row>
    <row r="22" spans="1:9" ht="16.5" customHeight="1" x14ac:dyDescent="0.4">
      <c r="A22" s="161" t="s">
        <v>724</v>
      </c>
      <c r="B22" s="157"/>
      <c r="C22" s="69">
        <f>SUM(C14:C21)</f>
        <v>0</v>
      </c>
      <c r="D22" s="156" t="s">
        <v>725</v>
      </c>
      <c r="E22" s="157"/>
      <c r="F22" s="69">
        <f>SUM(F14:F21)</f>
        <v>0</v>
      </c>
      <c r="G22" s="156" t="s">
        <v>726</v>
      </c>
      <c r="H22" s="157"/>
      <c r="I22" s="69">
        <f>SUM(I14:I21)</f>
        <v>0</v>
      </c>
    </row>
    <row r="23" spans="1:9" ht="15.45" x14ac:dyDescent="0.4">
      <c r="D23" s="144" t="s">
        <v>727</v>
      </c>
      <c r="E23" s="145"/>
      <c r="F23" s="70">
        <v>0</v>
      </c>
      <c r="G23" s="158" t="s">
        <v>728</v>
      </c>
      <c r="H23" s="145"/>
      <c r="I23" s="64">
        <v>0</v>
      </c>
    </row>
    <row r="24" spans="1:9" ht="15.45" x14ac:dyDescent="0.4">
      <c r="G24" s="144" t="s">
        <v>729</v>
      </c>
      <c r="H24" s="145"/>
      <c r="I24" s="64">
        <f>vorn_sum</f>
        <v>0</v>
      </c>
    </row>
    <row r="25" spans="1:9" ht="15.45" x14ac:dyDescent="0.4">
      <c r="G25" s="144" t="s">
        <v>730</v>
      </c>
      <c r="H25" s="145"/>
      <c r="I25" s="64">
        <v>0</v>
      </c>
    </row>
    <row r="27" spans="1:9" ht="15.45" x14ac:dyDescent="0.4">
      <c r="A27" s="146" t="s">
        <v>731</v>
      </c>
      <c r="B27" s="147"/>
      <c r="C27" s="71">
        <f>SUM('Stavební rozpočet'!AJ12:AJ367)</f>
        <v>0</v>
      </c>
    </row>
    <row r="28" spans="1:9" ht="15.45" x14ac:dyDescent="0.4">
      <c r="A28" s="148" t="s">
        <v>732</v>
      </c>
      <c r="B28" s="149"/>
      <c r="C28" s="72">
        <f>SUM('Stavební rozpočet'!AK12:AK367)</f>
        <v>0</v>
      </c>
      <c r="D28" s="150" t="s">
        <v>733</v>
      </c>
      <c r="E28" s="147"/>
      <c r="F28" s="71">
        <f>ROUND(C28*(12/100),2)</f>
        <v>0</v>
      </c>
      <c r="G28" s="150" t="s">
        <v>734</v>
      </c>
      <c r="H28" s="147"/>
      <c r="I28" s="71">
        <f>SUM(C27:C29)</f>
        <v>0</v>
      </c>
    </row>
    <row r="29" spans="1:9" ht="15.45" x14ac:dyDescent="0.4">
      <c r="A29" s="148" t="s">
        <v>735</v>
      </c>
      <c r="B29" s="149"/>
      <c r="C29" s="72">
        <f>SUM('Stavební rozpočet'!AL12:AL367)+(F22+I22+F23+I23+I24+I25)</f>
        <v>0</v>
      </c>
      <c r="D29" s="151" t="s">
        <v>736</v>
      </c>
      <c r="E29" s="149"/>
      <c r="F29" s="72">
        <f>ROUND(C29*(21/100),2)</f>
        <v>0</v>
      </c>
      <c r="G29" s="151" t="s">
        <v>737</v>
      </c>
      <c r="H29" s="149"/>
      <c r="I29" s="72">
        <f>SUM(F28:F29)+I28</f>
        <v>0</v>
      </c>
    </row>
    <row r="31" spans="1:9" x14ac:dyDescent="0.4">
      <c r="A31" s="141" t="s">
        <v>738</v>
      </c>
      <c r="B31" s="133"/>
      <c r="C31" s="134"/>
      <c r="D31" s="132" t="s">
        <v>739</v>
      </c>
      <c r="E31" s="133"/>
      <c r="F31" s="134"/>
      <c r="G31" s="132" t="s">
        <v>740</v>
      </c>
      <c r="H31" s="133"/>
      <c r="I31" s="134"/>
    </row>
    <row r="32" spans="1:9" x14ac:dyDescent="0.4">
      <c r="A32" s="142" t="s">
        <v>56</v>
      </c>
      <c r="B32" s="136"/>
      <c r="C32" s="137"/>
      <c r="D32" s="135" t="s">
        <v>56</v>
      </c>
      <c r="E32" s="136"/>
      <c r="F32" s="137"/>
      <c r="G32" s="135" t="s">
        <v>56</v>
      </c>
      <c r="H32" s="136"/>
      <c r="I32" s="137"/>
    </row>
    <row r="33" spans="1:9" x14ac:dyDescent="0.4">
      <c r="A33" s="142" t="s">
        <v>56</v>
      </c>
      <c r="B33" s="136"/>
      <c r="C33" s="137"/>
      <c r="D33" s="135" t="s">
        <v>56</v>
      </c>
      <c r="E33" s="136"/>
      <c r="F33" s="137"/>
      <c r="G33" s="135" t="s">
        <v>56</v>
      </c>
      <c r="H33" s="136"/>
      <c r="I33" s="137"/>
    </row>
    <row r="34" spans="1:9" x14ac:dyDescent="0.4">
      <c r="A34" s="142" t="s">
        <v>56</v>
      </c>
      <c r="B34" s="136"/>
      <c r="C34" s="137"/>
      <c r="D34" s="135" t="s">
        <v>56</v>
      </c>
      <c r="E34" s="136"/>
      <c r="F34" s="137"/>
      <c r="G34" s="135" t="s">
        <v>56</v>
      </c>
      <c r="H34" s="136"/>
      <c r="I34" s="137"/>
    </row>
    <row r="35" spans="1:9" x14ac:dyDescent="0.4">
      <c r="A35" s="143" t="s">
        <v>741</v>
      </c>
      <c r="B35" s="139"/>
      <c r="C35" s="140"/>
      <c r="D35" s="138" t="s">
        <v>741</v>
      </c>
      <c r="E35" s="139"/>
      <c r="F35" s="140"/>
      <c r="G35" s="138" t="s">
        <v>741</v>
      </c>
      <c r="H35" s="139"/>
      <c r="I35" s="140"/>
    </row>
    <row r="36" spans="1:9" ht="14.6" x14ac:dyDescent="0.4">
      <c r="A36" s="73" t="s">
        <v>85</v>
      </c>
    </row>
    <row r="37" spans="1:9" ht="13.5" customHeight="1" x14ac:dyDescent="0.4">
      <c r="A37" s="84" t="s">
        <v>742</v>
      </c>
      <c r="B37" s="85"/>
      <c r="C37" s="85"/>
      <c r="D37" s="85"/>
      <c r="E37" s="85"/>
      <c r="F37" s="85"/>
      <c r="G37" s="85"/>
      <c r="H37" s="85"/>
      <c r="I37" s="85"/>
    </row>
  </sheetData>
  <sheetProtection algorithmName="SHA-512" hashValue="jVzMWIquLncP7vYMV2PVC55w8Fpa52w+JH3/lg7S0vdQNne+On3wlg49n5tsnzAR9Wskt9tF7s857diSogRD2w==" saltValue="kMs+1BtK/kBWdQk2lhg82w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5234375" defaultRowHeight="15" customHeight="1" x14ac:dyDescent="0.4"/>
  <cols>
    <col min="1" max="1" width="9.152343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15234375" customWidth="1"/>
    <col min="8" max="8" width="17.15234375" customWidth="1"/>
    <col min="9" max="9" width="22.84375" customWidth="1"/>
  </cols>
  <sheetData>
    <row r="1" spans="1:9" ht="54.75" customHeight="1" x14ac:dyDescent="0.4">
      <c r="A1" s="168" t="s">
        <v>641</v>
      </c>
      <c r="B1" s="117"/>
      <c r="C1" s="117"/>
      <c r="D1" s="117"/>
      <c r="E1" s="117"/>
      <c r="F1" s="117"/>
      <c r="G1" s="117"/>
      <c r="H1" s="117"/>
      <c r="I1" s="117"/>
    </row>
    <row r="2" spans="1:9" ht="14.6" x14ac:dyDescent="0.4">
      <c r="A2" s="118" t="s">
        <v>1</v>
      </c>
      <c r="B2" s="110"/>
      <c r="C2" s="122" t="str">
        <f>'Stavební rozpočet'!D2</f>
        <v>Rekonstrukce, úpravy a rozš. stáv. zpev. i nezpev. ploch k parkování - část sídliště U Hřbitova</v>
      </c>
      <c r="D2" s="123"/>
      <c r="E2" s="109" t="s">
        <v>5</v>
      </c>
      <c r="F2" s="109" t="str">
        <f>'Stavební rozpočet'!J2</f>
        <v>Statutární město Jihlava</v>
      </c>
      <c r="G2" s="110"/>
      <c r="H2" s="109" t="s">
        <v>699</v>
      </c>
      <c r="I2" s="111" t="s">
        <v>700</v>
      </c>
    </row>
    <row r="3" spans="1:9" ht="25.5" customHeight="1" x14ac:dyDescent="0.4">
      <c r="A3" s="119"/>
      <c r="B3" s="85"/>
      <c r="C3" s="124"/>
      <c r="D3" s="124"/>
      <c r="E3" s="85"/>
      <c r="F3" s="85"/>
      <c r="G3" s="85"/>
      <c r="H3" s="85"/>
      <c r="I3" s="112"/>
    </row>
    <row r="4" spans="1:9" ht="14.6" x14ac:dyDescent="0.4">
      <c r="A4" s="120" t="s">
        <v>7</v>
      </c>
      <c r="B4" s="85"/>
      <c r="C4" s="84" t="str">
        <f>'Stavební rozpočet'!D4</f>
        <v>SO 111.1 - Rozš.vozovky před BD U Hřbitova 2-10, SO 111.2 Parkoviště u BD 2-10, SO 401 VO</v>
      </c>
      <c r="D4" s="85"/>
      <c r="E4" s="84" t="s">
        <v>10</v>
      </c>
      <c r="F4" s="84" t="str">
        <f>'Stavební rozpočet'!J4</f>
        <v> </v>
      </c>
      <c r="G4" s="85"/>
      <c r="H4" s="84" t="s">
        <v>699</v>
      </c>
      <c r="I4" s="112" t="s">
        <v>56</v>
      </c>
    </row>
    <row r="5" spans="1:9" ht="25.5" customHeight="1" x14ac:dyDescent="0.4">
      <c r="A5" s="119"/>
      <c r="B5" s="85"/>
      <c r="C5" s="85"/>
      <c r="D5" s="85"/>
      <c r="E5" s="85"/>
      <c r="F5" s="85"/>
      <c r="G5" s="85"/>
      <c r="H5" s="85"/>
      <c r="I5" s="112"/>
    </row>
    <row r="6" spans="1:9" ht="14.6" x14ac:dyDescent="0.4">
      <c r="A6" s="120" t="s">
        <v>12</v>
      </c>
      <c r="B6" s="85"/>
      <c r="C6" s="84" t="str">
        <f>'Stavební rozpočet'!D6</f>
        <v>Jihlava</v>
      </c>
      <c r="D6" s="85"/>
      <c r="E6" s="84" t="s">
        <v>15</v>
      </c>
      <c r="F6" s="84" t="str">
        <f>'Stavební rozpočet'!J6</f>
        <v>dle výběrového řízení</v>
      </c>
      <c r="G6" s="85"/>
      <c r="H6" s="84" t="s">
        <v>699</v>
      </c>
      <c r="I6" s="112" t="s">
        <v>56</v>
      </c>
    </row>
    <row r="7" spans="1:9" ht="15" customHeight="1" x14ac:dyDescent="0.4">
      <c r="A7" s="119"/>
      <c r="B7" s="85"/>
      <c r="C7" s="85"/>
      <c r="D7" s="85"/>
      <c r="E7" s="85"/>
      <c r="F7" s="85"/>
      <c r="G7" s="85"/>
      <c r="H7" s="85"/>
      <c r="I7" s="112"/>
    </row>
    <row r="8" spans="1:9" ht="14.6" x14ac:dyDescent="0.4">
      <c r="A8" s="120" t="s">
        <v>9</v>
      </c>
      <c r="B8" s="85"/>
      <c r="C8" s="84" t="str">
        <f>'Stavební rozpočet'!H4</f>
        <v xml:space="preserve"> </v>
      </c>
      <c r="D8" s="85"/>
      <c r="E8" s="84" t="s">
        <v>14</v>
      </c>
      <c r="F8" s="84" t="str">
        <f>'Stavební rozpočet'!H6</f>
        <v xml:space="preserve"> </v>
      </c>
      <c r="G8" s="85"/>
      <c r="H8" s="85" t="s">
        <v>701</v>
      </c>
      <c r="I8" s="169">
        <v>151</v>
      </c>
    </row>
    <row r="9" spans="1:9" ht="14.6" x14ac:dyDescent="0.4">
      <c r="A9" s="119"/>
      <c r="B9" s="85"/>
      <c r="C9" s="85"/>
      <c r="D9" s="85"/>
      <c r="E9" s="85"/>
      <c r="F9" s="85"/>
      <c r="G9" s="85"/>
      <c r="H9" s="85"/>
      <c r="I9" s="112"/>
    </row>
    <row r="10" spans="1:9" ht="14.6" x14ac:dyDescent="0.4">
      <c r="A10" s="120" t="s">
        <v>17</v>
      </c>
      <c r="B10" s="85"/>
      <c r="C10" s="84" t="str">
        <f>'Stavební rozpočet'!D8</f>
        <v xml:space="preserve"> </v>
      </c>
      <c r="D10" s="85"/>
      <c r="E10" s="84" t="s">
        <v>20</v>
      </c>
      <c r="F10" s="84" t="str">
        <f>'Stavební rozpočet'!J8</f>
        <v>Ing. Petr Kristýnek</v>
      </c>
      <c r="G10" s="85"/>
      <c r="H10" s="85" t="s">
        <v>702</v>
      </c>
      <c r="I10" s="162" t="str">
        <f>'Stavební rozpočet'!H8</f>
        <v>09.09.2024</v>
      </c>
    </row>
    <row r="11" spans="1:9" ht="14.6" x14ac:dyDescent="0.4">
      <c r="A11" s="167"/>
      <c r="B11" s="125"/>
      <c r="C11" s="125"/>
      <c r="D11" s="125"/>
      <c r="E11" s="125"/>
      <c r="F11" s="125"/>
      <c r="G11" s="125"/>
      <c r="H11" s="125"/>
      <c r="I11" s="163"/>
    </row>
    <row r="13" spans="1:9" ht="15.45" x14ac:dyDescent="0.4">
      <c r="A13" s="179" t="s">
        <v>743</v>
      </c>
      <c r="B13" s="179"/>
      <c r="C13" s="179"/>
      <c r="D13" s="179"/>
      <c r="E13" s="179"/>
    </row>
    <row r="14" spans="1:9" ht="14.6" x14ac:dyDescent="0.4">
      <c r="A14" s="180" t="s">
        <v>744</v>
      </c>
      <c r="B14" s="181"/>
      <c r="C14" s="181"/>
      <c r="D14" s="181"/>
      <c r="E14" s="182"/>
      <c r="F14" s="74" t="s">
        <v>745</v>
      </c>
      <c r="G14" s="74" t="s">
        <v>746</v>
      </c>
      <c r="H14" s="74" t="s">
        <v>747</v>
      </c>
      <c r="I14" s="74" t="s">
        <v>745</v>
      </c>
    </row>
    <row r="15" spans="1:9" ht="14.6" x14ac:dyDescent="0.4">
      <c r="A15" s="186" t="s">
        <v>712</v>
      </c>
      <c r="B15" s="187"/>
      <c r="C15" s="187"/>
      <c r="D15" s="187"/>
      <c r="E15" s="188"/>
      <c r="F15" s="75">
        <v>0</v>
      </c>
      <c r="G15" s="76" t="s">
        <v>56</v>
      </c>
      <c r="H15" s="76" t="s">
        <v>56</v>
      </c>
      <c r="I15" s="75">
        <f>F15</f>
        <v>0</v>
      </c>
    </row>
    <row r="16" spans="1:9" ht="14.6" x14ac:dyDescent="0.4">
      <c r="A16" s="186" t="s">
        <v>714</v>
      </c>
      <c r="B16" s="187"/>
      <c r="C16" s="187"/>
      <c r="D16" s="187"/>
      <c r="E16" s="188"/>
      <c r="F16" s="75">
        <v>0</v>
      </c>
      <c r="G16" s="76" t="s">
        <v>56</v>
      </c>
      <c r="H16" s="76" t="s">
        <v>56</v>
      </c>
      <c r="I16" s="75">
        <f>F16</f>
        <v>0</v>
      </c>
    </row>
    <row r="17" spans="1:9" ht="14.6" x14ac:dyDescent="0.4">
      <c r="A17" s="183" t="s">
        <v>717</v>
      </c>
      <c r="B17" s="184"/>
      <c r="C17" s="184"/>
      <c r="D17" s="184"/>
      <c r="E17" s="185"/>
      <c r="F17" s="77">
        <v>0</v>
      </c>
      <c r="G17" s="78" t="s">
        <v>56</v>
      </c>
      <c r="H17" s="78" t="s">
        <v>56</v>
      </c>
      <c r="I17" s="77">
        <f>F17</f>
        <v>0</v>
      </c>
    </row>
    <row r="18" spans="1:9" ht="14.6" x14ac:dyDescent="0.4">
      <c r="A18" s="170" t="s">
        <v>748</v>
      </c>
      <c r="B18" s="171"/>
      <c r="C18" s="171"/>
      <c r="D18" s="171"/>
      <c r="E18" s="172"/>
      <c r="F18" s="79" t="s">
        <v>56</v>
      </c>
      <c r="G18" s="80" t="s">
        <v>56</v>
      </c>
      <c r="H18" s="80" t="s">
        <v>56</v>
      </c>
      <c r="I18" s="81">
        <f>SUM(I15:I17)</f>
        <v>0</v>
      </c>
    </row>
    <row r="20" spans="1:9" ht="14.6" x14ac:dyDescent="0.4">
      <c r="A20" s="180" t="s">
        <v>709</v>
      </c>
      <c r="B20" s="181"/>
      <c r="C20" s="181"/>
      <c r="D20" s="181"/>
      <c r="E20" s="182"/>
      <c r="F20" s="74" t="s">
        <v>745</v>
      </c>
      <c r="G20" s="74" t="s">
        <v>746</v>
      </c>
      <c r="H20" s="74" t="s">
        <v>747</v>
      </c>
      <c r="I20" s="74" t="s">
        <v>745</v>
      </c>
    </row>
    <row r="21" spans="1:9" ht="14.6" x14ac:dyDescent="0.4">
      <c r="A21" s="186" t="s">
        <v>713</v>
      </c>
      <c r="B21" s="187"/>
      <c r="C21" s="187"/>
      <c r="D21" s="187"/>
      <c r="E21" s="188"/>
      <c r="F21" s="75">
        <v>0</v>
      </c>
      <c r="G21" s="76" t="s">
        <v>56</v>
      </c>
      <c r="H21" s="76" t="s">
        <v>56</v>
      </c>
      <c r="I21" s="75">
        <f t="shared" ref="I21:I26" si="0">F21</f>
        <v>0</v>
      </c>
    </row>
    <row r="22" spans="1:9" ht="14.6" x14ac:dyDescent="0.4">
      <c r="A22" s="186" t="s">
        <v>715</v>
      </c>
      <c r="B22" s="187"/>
      <c r="C22" s="187"/>
      <c r="D22" s="187"/>
      <c r="E22" s="188"/>
      <c r="F22" s="75">
        <v>0</v>
      </c>
      <c r="G22" s="76" t="s">
        <v>56</v>
      </c>
      <c r="H22" s="76" t="s">
        <v>56</v>
      </c>
      <c r="I22" s="75">
        <f t="shared" si="0"/>
        <v>0</v>
      </c>
    </row>
    <row r="23" spans="1:9" ht="14.6" x14ac:dyDescent="0.4">
      <c r="A23" s="186" t="s">
        <v>718</v>
      </c>
      <c r="B23" s="187"/>
      <c r="C23" s="187"/>
      <c r="D23" s="187"/>
      <c r="E23" s="188"/>
      <c r="F23" s="75">
        <v>0</v>
      </c>
      <c r="G23" s="76" t="s">
        <v>56</v>
      </c>
      <c r="H23" s="76" t="s">
        <v>56</v>
      </c>
      <c r="I23" s="75">
        <f t="shared" si="0"/>
        <v>0</v>
      </c>
    </row>
    <row r="24" spans="1:9" ht="14.6" x14ac:dyDescent="0.4">
      <c r="A24" s="186" t="s">
        <v>719</v>
      </c>
      <c r="B24" s="187"/>
      <c r="C24" s="187"/>
      <c r="D24" s="187"/>
      <c r="E24" s="188"/>
      <c r="F24" s="75">
        <v>0</v>
      </c>
      <c r="G24" s="76" t="s">
        <v>56</v>
      </c>
      <c r="H24" s="76" t="s">
        <v>56</v>
      </c>
      <c r="I24" s="75">
        <f t="shared" si="0"/>
        <v>0</v>
      </c>
    </row>
    <row r="25" spans="1:9" ht="14.6" x14ac:dyDescent="0.4">
      <c r="A25" s="186" t="s">
        <v>721</v>
      </c>
      <c r="B25" s="187"/>
      <c r="C25" s="187"/>
      <c r="D25" s="187"/>
      <c r="E25" s="188"/>
      <c r="F25" s="75">
        <v>0</v>
      </c>
      <c r="G25" s="76" t="s">
        <v>56</v>
      </c>
      <c r="H25" s="76" t="s">
        <v>56</v>
      </c>
      <c r="I25" s="75">
        <f t="shared" si="0"/>
        <v>0</v>
      </c>
    </row>
    <row r="26" spans="1:9" ht="14.6" x14ac:dyDescent="0.4">
      <c r="A26" s="183" t="s">
        <v>722</v>
      </c>
      <c r="B26" s="184"/>
      <c r="C26" s="184"/>
      <c r="D26" s="184"/>
      <c r="E26" s="185"/>
      <c r="F26" s="77">
        <v>0</v>
      </c>
      <c r="G26" s="78" t="s">
        <v>56</v>
      </c>
      <c r="H26" s="78" t="s">
        <v>56</v>
      </c>
      <c r="I26" s="77">
        <f t="shared" si="0"/>
        <v>0</v>
      </c>
    </row>
    <row r="27" spans="1:9" ht="14.6" x14ac:dyDescent="0.4">
      <c r="A27" s="170" t="s">
        <v>749</v>
      </c>
      <c r="B27" s="171"/>
      <c r="C27" s="171"/>
      <c r="D27" s="171"/>
      <c r="E27" s="172"/>
      <c r="F27" s="79" t="s">
        <v>56</v>
      </c>
      <c r="G27" s="80" t="s">
        <v>56</v>
      </c>
      <c r="H27" s="80" t="s">
        <v>56</v>
      </c>
      <c r="I27" s="81">
        <f>SUM(I21:I26)</f>
        <v>0</v>
      </c>
    </row>
    <row r="29" spans="1:9" ht="15.45" x14ac:dyDescent="0.4">
      <c r="A29" s="173" t="s">
        <v>750</v>
      </c>
      <c r="B29" s="174"/>
      <c r="C29" s="174"/>
      <c r="D29" s="174"/>
      <c r="E29" s="175"/>
      <c r="F29" s="176">
        <f>I18+I27</f>
        <v>0</v>
      </c>
      <c r="G29" s="177"/>
      <c r="H29" s="177"/>
      <c r="I29" s="178"/>
    </row>
    <row r="33" spans="1:9" ht="15.45" x14ac:dyDescent="0.4">
      <c r="A33" s="179" t="s">
        <v>751</v>
      </c>
      <c r="B33" s="179"/>
      <c r="C33" s="179"/>
      <c r="D33" s="179"/>
      <c r="E33" s="179"/>
    </row>
    <row r="34" spans="1:9" ht="14.6" x14ac:dyDescent="0.4">
      <c r="A34" s="180" t="s">
        <v>752</v>
      </c>
      <c r="B34" s="181"/>
      <c r="C34" s="181"/>
      <c r="D34" s="181"/>
      <c r="E34" s="182"/>
      <c r="F34" s="74" t="s">
        <v>745</v>
      </c>
      <c r="G34" s="74" t="s">
        <v>746</v>
      </c>
      <c r="H34" s="74" t="s">
        <v>747</v>
      </c>
      <c r="I34" s="74" t="s">
        <v>745</v>
      </c>
    </row>
    <row r="35" spans="1:9" ht="14.6" x14ac:dyDescent="0.4">
      <c r="A35" s="183" t="s">
        <v>56</v>
      </c>
      <c r="B35" s="184"/>
      <c r="C35" s="184"/>
      <c r="D35" s="184"/>
      <c r="E35" s="185"/>
      <c r="F35" s="77">
        <v>0</v>
      </c>
      <c r="G35" s="78" t="s">
        <v>56</v>
      </c>
      <c r="H35" s="78" t="s">
        <v>56</v>
      </c>
      <c r="I35" s="77">
        <f>F35</f>
        <v>0</v>
      </c>
    </row>
    <row r="36" spans="1:9" ht="14.6" x14ac:dyDescent="0.4">
      <c r="A36" s="170" t="s">
        <v>753</v>
      </c>
      <c r="B36" s="171"/>
      <c r="C36" s="171"/>
      <c r="D36" s="171"/>
      <c r="E36" s="172"/>
      <c r="F36" s="79" t="s">
        <v>56</v>
      </c>
      <c r="G36" s="80" t="s">
        <v>56</v>
      </c>
      <c r="H36" s="80" t="s">
        <v>56</v>
      </c>
      <c r="I36" s="8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Rozpočet - Jen objekty celkem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TROJAN Karel Ing. Bc. Ph.D.</cp:lastModifiedBy>
  <dcterms:created xsi:type="dcterms:W3CDTF">2021-06-10T20:06:38Z</dcterms:created>
  <dcterms:modified xsi:type="dcterms:W3CDTF">2025-03-10T11:19:04Z</dcterms:modified>
</cp:coreProperties>
</file>